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180" activeTab="1"/>
  </bookViews>
  <sheets>
    <sheet name="Activity" sheetId="1" r:id="rId1"/>
    <sheet name="Category" sheetId="2" r:id="rId2"/>
  </sheets>
  <definedNames/>
  <calcPr fullCalcOnLoad="1"/>
</workbook>
</file>

<file path=xl/sharedStrings.xml><?xml version="1.0" encoding="utf-8"?>
<sst xmlns="http://schemas.openxmlformats.org/spreadsheetml/2006/main" count="148" uniqueCount="118">
  <si>
    <t>Annex D - PBF project budget</t>
  </si>
  <si>
    <t>Outcome/ Output number</t>
  </si>
  <si>
    <t>Outcome/ output/ activity formulation:</t>
  </si>
  <si>
    <t>Output 1.1:</t>
  </si>
  <si>
    <t>Activity 1.1.1:</t>
  </si>
  <si>
    <t>Activity 1.1.2:</t>
  </si>
  <si>
    <t>Activity 1.1.3:</t>
  </si>
  <si>
    <t>Output 1.2:</t>
  </si>
  <si>
    <t>Activity 1.2.1:</t>
  </si>
  <si>
    <t>Activity 1.2.2:</t>
  </si>
  <si>
    <t>Activity 1.2.3:</t>
  </si>
  <si>
    <t>TOTAL $ FOR OUTCOME 1:</t>
  </si>
  <si>
    <t>Output 2.1:</t>
  </si>
  <si>
    <t>Activity 2.1.1:</t>
  </si>
  <si>
    <t>Activity 2.1.2:</t>
  </si>
  <si>
    <t>Activity 2.1.3:</t>
  </si>
  <si>
    <t>Output 2.2:</t>
  </si>
  <si>
    <t>Activity 2.2.1:</t>
  </si>
  <si>
    <t>Activity 2.2.2:</t>
  </si>
  <si>
    <t>Activity 2.2.3:</t>
  </si>
  <si>
    <t>TOTAL $ FOR OUTCOME 2:</t>
  </si>
  <si>
    <t xml:space="preserve"> </t>
  </si>
  <si>
    <t>SUB-TOTAL PROJECT BUDGET:</t>
  </si>
  <si>
    <t>Indirect support costs (7%):</t>
  </si>
  <si>
    <t>TOTAL PROJECT BUDGET:</t>
  </si>
  <si>
    <t>Any remarks (e.g. on types of inputs provided or budget justification, for example if high TA or travel costs)</t>
  </si>
  <si>
    <t>CATEGORIES</t>
  </si>
  <si>
    <t>TOTAL</t>
  </si>
  <si>
    <t>Tranche 1 (70%)</t>
  </si>
  <si>
    <t>Tranche 2 (30%)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</si>
  <si>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</si>
  <si>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</si>
  <si>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</si>
  <si>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</si>
  <si>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</si>
  <si>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</si>
  <si>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</si>
  <si>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</si>
  <si>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</si>
  <si>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PROJECT TOTAL</t>
  </si>
  <si>
    <t>Note: If this is a budget revision, insert extra columns to show budget changes.</t>
  </si>
  <si>
    <t>Project personnel costs if not included in activities above</t>
  </si>
  <si>
    <t>Project operational costs if not included in activities above</t>
  </si>
  <si>
    <t>Project M&amp;E budget</t>
  </si>
  <si>
    <t>Table 2 - PBF project budget by UN cost category</t>
  </si>
  <si>
    <t>Table 1 - PBF project budget by Outcome, output and activity</t>
  </si>
  <si>
    <t>Activity 1.1.4:</t>
  </si>
  <si>
    <t>Activity 1.1.5:</t>
  </si>
  <si>
    <t>Activity 2.1.4:</t>
  </si>
  <si>
    <t>Amount Recipient  Agency IOM Liberia</t>
  </si>
  <si>
    <t>Amount Recipient  Agency UNDP Liberia</t>
  </si>
  <si>
    <t>Facilitate to organize cultural, sport, and economic activities with a view to improving social cohesion.</t>
  </si>
  <si>
    <t xml:space="preserve">Organize sensitization and awareness campaigns related to social cohesion of cross-border areas and elections through the ECOWAS radio broadcasts and IEC materials. </t>
  </si>
  <si>
    <t>Provide and/or reinforce basic community infrastructure.</t>
  </si>
  <si>
    <t xml:space="preserve">Facilitate the organization of CPPCs and CPCs on a quarterly basis. </t>
  </si>
  <si>
    <t xml:space="preserve">Strengthen capacities of CPPCs and CPCs to effectively mitigate disputes and conflicts in their respective communities.  </t>
  </si>
  <si>
    <t xml:space="preserve">Establish or consolidate the community conflict prevention and management mechanisms in the target communities. </t>
  </si>
  <si>
    <t>Activity 1.2.4</t>
  </si>
  <si>
    <t>Activity 1.2.5</t>
  </si>
  <si>
    <t>Activity 1.2.6</t>
  </si>
  <si>
    <t xml:space="preserve">Organize two high-level meetings between relevant authorities of both countries. </t>
  </si>
  <si>
    <t xml:space="preserve">Facilitate the organization and institutionalization of joint and cross-border patrols by the security agencies of both countries at the local level. </t>
  </si>
  <si>
    <t xml:space="preserve">Organize trainings in border management for administrative authorities, security forces/agencies and communities’ leader. </t>
  </si>
  <si>
    <t xml:space="preserve">Provide basic skill trainings to use computers and other electronics to input and manage data.  </t>
  </si>
  <si>
    <t xml:space="preserve">Carry out rehabilitation works in border posts providing the necessary equipment to enhance key actors’ capacities as well as to respond needs of women. 
</t>
  </si>
  <si>
    <t xml:space="preserve">Conduct a capacity assessment. </t>
  </si>
  <si>
    <t>Organize a potential crisis simulation at the border to establish humanitarian corridors and ensure the maintenance of essential economic needs.</t>
  </si>
  <si>
    <t xml:space="preserve">Reinforce the linkage to the existing early warning systems as well as their capacities to report on the issues related to cross-border area to CMCs and CSCs.       </t>
  </si>
  <si>
    <t>Regularize inclusive dialogue sessions of CMCs and CSCs in respective countries and between CMCs and CSCs of mirroring communities in the two countries</t>
  </si>
  <si>
    <t>Establish or reinforce Civil-Military Committees (CMC) for Cote d’Ivoire or County Security Council (CSC) for Liberia;</t>
  </si>
  <si>
    <t>Conduct a baseline study of all targeted communities and security forces on their perceptions/assessments of the levels of border security, cross-border cooperation and social cohesion;</t>
  </si>
  <si>
    <t xml:space="preserve">Reduced tensions and increased promotion of social cohesion through strengthened and institutionalized civil-state collaboration mechanisms  </t>
  </si>
  <si>
    <t xml:space="preserve">OUTCOME 1: Enhanced capacities for conflict prevention and level of trust between state institutions and target communities of the cross-border areas  </t>
  </si>
  <si>
    <t xml:space="preserve">Improved capacities of local authorities, security forces, border management officials and key government actors for border management with a view to preventing conflicts.  </t>
  </si>
  <si>
    <t xml:space="preserve">OUTCOME 2: Improved peaceful co-existence and social cohesion between the target communities of the cross-border areas    </t>
  </si>
  <si>
    <t xml:space="preserve">Strengthened conflict prevention and dispute resolution platforms for dialogue, joint problem-solving and cooperation, including women, youth and refugees, at community level </t>
  </si>
  <si>
    <t xml:space="preserve">Improved social cohesion and stability among cross-border communities through joint social, cultural and economic initiatives </t>
  </si>
  <si>
    <t>Organize Joint Committee meetings between respective mirroring communities.</t>
  </si>
  <si>
    <t xml:space="preserve">Support cross-border women initiative to promote women's rights, fight against SGBV, community development, and social economic exchanges.  </t>
  </si>
  <si>
    <t>Percent of budget for each output reserved for direct action on gender equality (if any):</t>
  </si>
  <si>
    <t>Activity 2.2.4:</t>
  </si>
  <si>
    <t>Dialogue sessions will focus on issues affecting women as well as ways forward; special measures will be taken to ensure women's participation, including provision of transportation and child care.</t>
  </si>
  <si>
    <t>This includes training on SGBV and gender issues as well as techniques for women to report in safety; special measures will be taken to ensure women's participation, including provision of transportation and child care.</t>
  </si>
  <si>
    <t>Committees will comprise leaders of women's associations as well as take into account conflict prevention and management mechanisms driven by women.</t>
  </si>
  <si>
    <t>Trainings will implicate leaders of women's associations and included tailored techniques to women's role in mitigation processes; special measures will be taken to ensure participation, such as child care provision</t>
  </si>
  <si>
    <t>As part of quarterly meetings, a separate meeting held by women for women will be included; special measures will be taken to ensure participation, such as child care provision</t>
  </si>
  <si>
    <t>Meetings will include a focus on issues and challenges specific to women in cross-border communities.</t>
  </si>
  <si>
    <t>Broadcasts will include specific thematics/segments related to women, their role in local societies as well as challenges and ways forward</t>
  </si>
  <si>
    <t>At least half of proposed activities will specifically target women; specific provisions will be made to ensure women's participation (such as provision of transportation and child care).</t>
  </si>
  <si>
    <t>Total tranche 1 (70%)</t>
  </si>
  <si>
    <t>Total tranche 2 (30%)</t>
  </si>
  <si>
    <t>TOTAL OUTCOME 1 &amp; 2</t>
  </si>
  <si>
    <r>
      <t xml:space="preserve">Budget by recipient organization (not including staff, general operating costs and indirect fee) </t>
    </r>
    <r>
      <rPr>
        <b/>
        <sz val="11"/>
        <rFont val="Calibri"/>
        <family val="2"/>
      </rPr>
      <t>- IOM Liberia</t>
    </r>
  </si>
  <si>
    <r>
      <t xml:space="preserve">Budget by recipient organization (not including staff, general operating costs and indirect fee) - </t>
    </r>
    <r>
      <rPr>
        <b/>
        <sz val="11"/>
        <rFont val="Calibri"/>
        <family val="2"/>
      </rPr>
      <t>UNDP Liberia</t>
    </r>
  </si>
  <si>
    <t>Total</t>
  </si>
  <si>
    <t>Expenses</t>
  </si>
  <si>
    <t>PO</t>
  </si>
  <si>
    <t>Del (%)</t>
  </si>
  <si>
    <t>Overall Expenses</t>
  </si>
  <si>
    <t>Overall PO</t>
  </si>
  <si>
    <t>Overall Del   (%)</t>
  </si>
  <si>
    <t>Level of expenditure/PO in % to date</t>
  </si>
  <si>
    <t>Level of expenditure in USD (to provide at time of project progress reporting): IOM</t>
  </si>
  <si>
    <t>Commitments/PO in USD - IOM</t>
  </si>
  <si>
    <t>Level of expenditure in USD (to provide at time of project progress reporting): UNDP</t>
  </si>
  <si>
    <t>Commitments/PO in USD - UNDP</t>
  </si>
  <si>
    <t>The baseline study has been completed at 100% delivrable</t>
  </si>
  <si>
    <t>There is an ongoing preparation to bring authorities from both countries together for the crisis simulation activities. This will done in 2021</t>
  </si>
  <si>
    <t>This activity has been completed at 100%</t>
  </si>
  <si>
    <t>Contractors are currently mobilizing construction materials for the 4 administrative border posts</t>
  </si>
  <si>
    <t>Computer vendors have been vetted to start training for the security agencies at the borders</t>
  </si>
  <si>
    <t xml:space="preserve">Activity is scheduled for may 2021 at high level meeting of the two authorities. </t>
  </si>
  <si>
    <t xml:space="preserve">Contractors are currently mobilizing construction materials for the 4 hand pumps to support community engagement </t>
  </si>
  <si>
    <t>Amount Recipient  Agency IOM Cote D`Ivoire</t>
  </si>
  <si>
    <r>
      <t xml:space="preserve">Budget by recipient organization (not including staff, general operating costs and indirect fee) - </t>
    </r>
    <r>
      <rPr>
        <b/>
        <sz val="11"/>
        <rFont val="Calibri"/>
        <family val="2"/>
      </rPr>
      <t>UNDP Côte d'Ivoire</t>
    </r>
  </si>
  <si>
    <t>Amount Recipient  Agency UNDP Cote d'Ivoire</t>
  </si>
  <si>
    <r>
      <t xml:space="preserve">Budget by recipient organization (not including staff, general operating costs and indirect fee) </t>
    </r>
    <r>
      <rPr>
        <b/>
        <sz val="11"/>
        <rFont val="Calibri"/>
        <family val="2"/>
      </rPr>
      <t>- IOM Cote d'Ivoire</t>
    </r>
  </si>
  <si>
    <r>
      <t>Total of two countries</t>
    </r>
    <r>
      <rPr>
        <b/>
        <sz val="11"/>
        <color indexed="10"/>
        <rFont val="Calibri"/>
        <family val="2"/>
      </rPr>
      <t xml:space="preserve">
Côte d'Ivoire &amp; Liberia 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</si>
</sst>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0;[Red]#,##0.00"/>
    <numFmt numFmtId="181" formatCode="_-* #,##0\ _€_-;\-* #,##0\ _€_-;_-* &quot;-&quot;??\ _€_-;_-@_-"/>
    <numFmt numFmtId="182" formatCode="#,##0.0"/>
    <numFmt numFmtId="183" formatCode="_-* #,##0.00\ _C_F_A_-;\-* #,##0.00\ _C_F_A_-;_-* &quot;-&quot;??\ _C_F_A_-;_-@_-"/>
    <numFmt numFmtId="184" formatCode="_-* #,##0.0\ _€_-;\-* #,##0.0\ _€_-;_-* &quot;-&quot;??\ _€_-;_-@_-"/>
    <numFmt numFmtId="185" formatCode="_(* #,##0_);_(* \(#,##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%"/>
    <numFmt numFmtId="191" formatCode="0.000%"/>
    <numFmt numFmtId="192" formatCode="_-* #,##0.000\ _€_-;\-* #,##0.000\ _€_-;_-* &quot;-&quot;??\ _€_-;_-@_-"/>
    <numFmt numFmtId="193" formatCode="_-* #,##0.0000\ _€_-;\-* #,##0.0000\ _€_-;_-* &quot;-&quot;??\ _€_-;_-@_-"/>
    <numFmt numFmtId="194" formatCode="_-* #,##0.00000\ _€_-;\-* #,##0.00000\ _€_-;_-* &quot;-&quot;??\ _€_-;_-@_-"/>
    <numFmt numFmtId="195" formatCode="_-* #,##0.000000\ _€_-;\-* #,##0.0000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Calibri"/>
      <family val="2"/>
    </font>
    <font>
      <sz val="10"/>
      <name val="Calibri"/>
      <family val="2"/>
    </font>
    <font>
      <sz val="10"/>
      <color indexed="10"/>
      <name val="Times New Roman"/>
      <family val="1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rgb="FF002060"/>
      <name val="Calibri"/>
      <family val="2"/>
    </font>
    <font>
      <sz val="10"/>
      <color rgb="FF00206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432FF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>
        <color rgb="FF000000"/>
      </right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>
        <color rgb="FF000000"/>
      </right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9" fontId="48" fillId="33" borderId="10" xfId="42" applyNumberFormat="1" applyFont="1" applyFill="1" applyBorder="1" applyAlignment="1">
      <alignment horizontal="right" vertical="center" wrapText="1"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9" fontId="48" fillId="0" borderId="0" xfId="59" applyFont="1" applyAlignment="1">
      <alignment/>
    </xf>
    <xf numFmtId="179" fontId="48" fillId="0" borderId="0" xfId="42" applyFont="1" applyAlignment="1">
      <alignment/>
    </xf>
    <xf numFmtId="179" fontId="48" fillId="33" borderId="10" xfId="0" applyNumberFormat="1" applyFont="1" applyFill="1" applyBorder="1" applyAlignment="1">
      <alignment/>
    </xf>
    <xf numFmtId="179" fontId="48" fillId="0" borderId="0" xfId="0" applyNumberFormat="1" applyFont="1" applyAlignment="1">
      <alignment/>
    </xf>
    <xf numFmtId="43" fontId="48" fillId="0" borderId="0" xfId="0" applyNumberFormat="1" applyFont="1" applyAlignment="1">
      <alignment/>
    </xf>
    <xf numFmtId="183" fontId="48" fillId="0" borderId="0" xfId="0" applyNumberFormat="1" applyFont="1" applyAlignment="1">
      <alignment/>
    </xf>
    <xf numFmtId="171" fontId="48" fillId="0" borderId="0" xfId="0" applyNumberFormat="1" applyFont="1" applyAlignment="1">
      <alignment/>
    </xf>
    <xf numFmtId="0" fontId="49" fillId="33" borderId="11" xfId="0" applyFont="1" applyFill="1" applyBorder="1" applyAlignment="1">
      <alignment horizontal="center" vertical="center" wrapText="1"/>
    </xf>
    <xf numFmtId="179" fontId="48" fillId="34" borderId="10" xfId="42" applyNumberFormat="1" applyFont="1" applyFill="1" applyBorder="1" applyAlignment="1">
      <alignment horizontal="right" vertical="center" wrapText="1"/>
    </xf>
    <xf numFmtId="179" fontId="48" fillId="5" borderId="10" xfId="42" applyNumberFormat="1" applyFont="1" applyFill="1" applyBorder="1" applyAlignment="1">
      <alignment horizontal="right" vertical="center" wrapText="1"/>
    </xf>
    <xf numFmtId="179" fontId="48" fillId="34" borderId="12" xfId="42" applyNumberFormat="1" applyFont="1" applyFill="1" applyBorder="1" applyAlignment="1">
      <alignment horizontal="right" vertical="center" wrapText="1"/>
    </xf>
    <xf numFmtId="179" fontId="48" fillId="5" borderId="12" xfId="42" applyNumberFormat="1" applyFont="1" applyFill="1" applyBorder="1" applyAlignment="1">
      <alignment horizontal="right" vertical="center" wrapText="1"/>
    </xf>
    <xf numFmtId="179" fontId="48" fillId="33" borderId="12" xfId="0" applyNumberFormat="1" applyFont="1" applyFill="1" applyBorder="1" applyAlignment="1">
      <alignment horizontal="right" vertical="center" wrapText="1"/>
    </xf>
    <xf numFmtId="43" fontId="48" fillId="33" borderId="12" xfId="0" applyNumberFormat="1" applyFont="1" applyFill="1" applyBorder="1" applyAlignment="1">
      <alignment/>
    </xf>
    <xf numFmtId="9" fontId="48" fillId="33" borderId="13" xfId="59" applyFont="1" applyFill="1" applyBorder="1" applyAlignment="1">
      <alignment/>
    </xf>
    <xf numFmtId="179" fontId="50" fillId="33" borderId="14" xfId="42" applyNumberFormat="1" applyFont="1" applyFill="1" applyBorder="1" applyAlignment="1">
      <alignment horizontal="right" vertical="center" wrapText="1"/>
    </xf>
    <xf numFmtId="179" fontId="50" fillId="33" borderId="14" xfId="0" applyNumberFormat="1" applyFont="1" applyFill="1" applyBorder="1" applyAlignment="1">
      <alignment horizontal="right" vertical="center" wrapText="1"/>
    </xf>
    <xf numFmtId="179" fontId="48" fillId="33" borderId="15" xfId="0" applyNumberFormat="1" applyFont="1" applyFill="1" applyBorder="1" applyAlignment="1">
      <alignment horizontal="right" vertical="center" wrapText="1"/>
    </xf>
    <xf numFmtId="179" fontId="50" fillId="33" borderId="16" xfId="0" applyNumberFormat="1" applyFont="1" applyFill="1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 wrapText="1"/>
    </xf>
    <xf numFmtId="9" fontId="49" fillId="33" borderId="18" xfId="59" applyFont="1" applyFill="1" applyBorder="1" applyAlignment="1">
      <alignment horizontal="center" vertical="center" wrapText="1"/>
    </xf>
    <xf numFmtId="179" fontId="48" fillId="5" borderId="15" xfId="42" applyNumberFormat="1" applyFont="1" applyFill="1" applyBorder="1" applyAlignment="1">
      <alignment horizontal="right" vertical="center" wrapText="1"/>
    </xf>
    <xf numFmtId="9" fontId="48" fillId="5" borderId="19" xfId="59" applyFont="1" applyFill="1" applyBorder="1" applyAlignment="1">
      <alignment horizontal="right" vertical="center" wrapText="1"/>
    </xf>
    <xf numFmtId="179" fontId="48" fillId="5" borderId="20" xfId="42" applyNumberFormat="1" applyFont="1" applyFill="1" applyBorder="1" applyAlignment="1">
      <alignment horizontal="right" vertical="center" wrapText="1"/>
    </xf>
    <xf numFmtId="179" fontId="48" fillId="33" borderId="20" xfId="42" applyNumberFormat="1" applyFont="1" applyFill="1" applyBorder="1" applyAlignment="1">
      <alignment horizontal="right" vertical="center" wrapText="1"/>
    </xf>
    <xf numFmtId="9" fontId="48" fillId="33" borderId="13" xfId="59" applyFont="1" applyFill="1" applyBorder="1" applyAlignment="1">
      <alignment horizontal="right" vertical="center" wrapText="1"/>
    </xf>
    <xf numFmtId="179" fontId="48" fillId="34" borderId="15" xfId="42" applyNumberFormat="1" applyFont="1" applyFill="1" applyBorder="1" applyAlignment="1">
      <alignment horizontal="right" vertical="center" wrapText="1"/>
    </xf>
    <xf numFmtId="179" fontId="48" fillId="34" borderId="20" xfId="42" applyNumberFormat="1" applyFont="1" applyFill="1" applyBorder="1" applyAlignment="1">
      <alignment horizontal="right" vertical="center" wrapText="1"/>
    </xf>
    <xf numFmtId="179" fontId="50" fillId="33" borderId="16" xfId="42" applyNumberFormat="1" applyFont="1" applyFill="1" applyBorder="1" applyAlignment="1">
      <alignment horizontal="right" vertical="center" wrapText="1"/>
    </xf>
    <xf numFmtId="179" fontId="48" fillId="0" borderId="21" xfId="0" applyNumberFormat="1" applyFont="1" applyBorder="1" applyAlignment="1">
      <alignment vertical="center" wrapText="1"/>
    </xf>
    <xf numFmtId="179" fontId="48" fillId="0" borderId="22" xfId="0" applyNumberFormat="1" applyFont="1" applyBorder="1" applyAlignment="1">
      <alignment vertical="center" wrapText="1"/>
    </xf>
    <xf numFmtId="179" fontId="49" fillId="33" borderId="22" xfId="0" applyNumberFormat="1" applyFont="1" applyFill="1" applyBorder="1" applyAlignment="1">
      <alignment vertical="center" wrapText="1"/>
    </xf>
    <xf numFmtId="179" fontId="49" fillId="33" borderId="23" xfId="0" applyNumberFormat="1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8" fillId="0" borderId="24" xfId="0" applyFont="1" applyBorder="1" applyAlignment="1">
      <alignment/>
    </xf>
    <xf numFmtId="0" fontId="49" fillId="0" borderId="25" xfId="0" applyFont="1" applyBorder="1" applyAlignment="1">
      <alignment vertical="center" wrapText="1"/>
    </xf>
    <xf numFmtId="0" fontId="51" fillId="0" borderId="26" xfId="0" applyFont="1" applyBorder="1" applyAlignment="1">
      <alignment wrapText="1"/>
    </xf>
    <xf numFmtId="0" fontId="48" fillId="0" borderId="20" xfId="0" applyFont="1" applyBorder="1" applyAlignment="1">
      <alignment vertical="center" wrapText="1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horizontal="justify" vertical="center" wrapText="1"/>
    </xf>
    <xf numFmtId="0" fontId="49" fillId="0" borderId="20" xfId="0" applyFont="1" applyBorder="1" applyAlignment="1">
      <alignment vertical="center" wrapText="1"/>
    </xf>
    <xf numFmtId="0" fontId="51" fillId="0" borderId="10" xfId="0" applyFont="1" applyBorder="1" applyAlignment="1">
      <alignment horizontal="justify" vertical="center"/>
    </xf>
    <xf numFmtId="0" fontId="49" fillId="13" borderId="20" xfId="0" applyFont="1" applyFill="1" applyBorder="1" applyAlignment="1">
      <alignment vertical="center" wrapText="1"/>
    </xf>
    <xf numFmtId="0" fontId="49" fillId="13" borderId="10" xfId="0" applyFont="1" applyFill="1" applyBorder="1" applyAlignment="1">
      <alignment vertical="center" wrapText="1"/>
    </xf>
    <xf numFmtId="179" fontId="49" fillId="13" borderId="10" xfId="0" applyNumberFormat="1" applyFont="1" applyFill="1" applyBorder="1" applyAlignment="1">
      <alignment vertical="center" wrapText="1"/>
    </xf>
    <xf numFmtId="183" fontId="49" fillId="13" borderId="13" xfId="0" applyNumberFormat="1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top" wrapText="1"/>
    </xf>
    <xf numFmtId="180" fontId="48" fillId="34" borderId="10" xfId="0" applyNumberFormat="1" applyFont="1" applyFill="1" applyBorder="1" applyAlignment="1">
      <alignment horizontal="right" vertical="center" wrapText="1"/>
    </xf>
    <xf numFmtId="0" fontId="52" fillId="0" borderId="10" xfId="0" applyFont="1" applyBorder="1" applyAlignment="1">
      <alignment vertical="center" wrapText="1"/>
    </xf>
    <xf numFmtId="0" fontId="49" fillId="13" borderId="13" xfId="0" applyFont="1" applyFill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4" fillId="13" borderId="20" xfId="0" applyFont="1" applyFill="1" applyBorder="1" applyAlignment="1">
      <alignment vertical="center" wrapText="1"/>
    </xf>
    <xf numFmtId="0" fontId="54" fillId="13" borderId="10" xfId="0" applyFont="1" applyFill="1" applyBorder="1" applyAlignment="1">
      <alignment vertical="center" wrapText="1"/>
    </xf>
    <xf numFmtId="0" fontId="54" fillId="13" borderId="13" xfId="0" applyFont="1" applyFill="1" applyBorder="1" applyAlignment="1">
      <alignment vertical="center" wrapText="1"/>
    </xf>
    <xf numFmtId="0" fontId="54" fillId="13" borderId="16" xfId="0" applyFont="1" applyFill="1" applyBorder="1" applyAlignment="1">
      <alignment vertical="center" wrapText="1"/>
    </xf>
    <xf numFmtId="0" fontId="54" fillId="13" borderId="14" xfId="0" applyFont="1" applyFill="1" applyBorder="1" applyAlignment="1">
      <alignment vertical="center" wrapText="1"/>
    </xf>
    <xf numFmtId="0" fontId="54" fillId="13" borderId="27" xfId="0" applyFont="1" applyFill="1" applyBorder="1" applyAlignment="1">
      <alignment vertical="center" wrapText="1"/>
    </xf>
    <xf numFmtId="0" fontId="49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179" fontId="48" fillId="0" borderId="0" xfId="42" applyFont="1" applyAlignment="1">
      <alignment horizontal="right"/>
    </xf>
    <xf numFmtId="0" fontId="48" fillId="0" borderId="10" xfId="0" applyFont="1" applyBorder="1" applyAlignment="1">
      <alignment horizontal="right"/>
    </xf>
    <xf numFmtId="179" fontId="48" fillId="0" borderId="10" xfId="42" applyFont="1" applyBorder="1" applyAlignment="1">
      <alignment horizontal="right"/>
    </xf>
    <xf numFmtId="0" fontId="48" fillId="0" borderId="24" xfId="0" applyFont="1" applyBorder="1" applyAlignment="1">
      <alignment horizontal="right"/>
    </xf>
    <xf numFmtId="179" fontId="48" fillId="0" borderId="24" xfId="42" applyFont="1" applyBorder="1" applyAlignment="1">
      <alignment horizontal="right"/>
    </xf>
    <xf numFmtId="180" fontId="50" fillId="34" borderId="26" xfId="0" applyNumberFormat="1" applyFont="1" applyFill="1" applyBorder="1" applyAlignment="1">
      <alignment horizontal="right" vertical="center" wrapText="1"/>
    </xf>
    <xf numFmtId="180" fontId="50" fillId="5" borderId="26" xfId="0" applyNumberFormat="1" applyFont="1" applyFill="1" applyBorder="1" applyAlignment="1">
      <alignment horizontal="right" vertical="center" wrapText="1"/>
    </xf>
    <xf numFmtId="179" fontId="50" fillId="33" borderId="26" xfId="42" applyFont="1" applyFill="1" applyBorder="1" applyAlignment="1">
      <alignment horizontal="right" vertical="center" wrapText="1"/>
    </xf>
    <xf numFmtId="182" fontId="48" fillId="5" borderId="10" xfId="0" applyNumberFormat="1" applyFont="1" applyFill="1" applyBorder="1" applyAlignment="1">
      <alignment horizontal="right" vertical="center" wrapText="1"/>
    </xf>
    <xf numFmtId="180" fontId="48" fillId="34" borderId="10" xfId="0" applyNumberFormat="1" applyFont="1" applyFill="1" applyBorder="1" applyAlignment="1">
      <alignment horizontal="right" wrapText="1"/>
    </xf>
    <xf numFmtId="179" fontId="48" fillId="5" borderId="10" xfId="42" applyFont="1" applyFill="1" applyBorder="1" applyAlignment="1">
      <alignment horizontal="right" vertical="center" wrapText="1"/>
    </xf>
    <xf numFmtId="180" fontId="55" fillId="34" borderId="10" xfId="0" applyNumberFormat="1" applyFont="1" applyFill="1" applyBorder="1" applyAlignment="1">
      <alignment horizontal="right" vertical="center" wrapText="1"/>
    </xf>
    <xf numFmtId="0" fontId="48" fillId="5" borderId="10" xfId="0" applyFont="1" applyFill="1" applyBorder="1" applyAlignment="1">
      <alignment horizontal="right" vertical="center" wrapText="1"/>
    </xf>
    <xf numFmtId="180" fontId="29" fillId="34" borderId="10" xfId="0" applyNumberFormat="1" applyFont="1" applyFill="1" applyBorder="1" applyAlignment="1">
      <alignment horizontal="right" vertical="center" wrapText="1"/>
    </xf>
    <xf numFmtId="3" fontId="48" fillId="5" borderId="10" xfId="0" applyNumberFormat="1" applyFont="1" applyFill="1" applyBorder="1" applyAlignment="1">
      <alignment horizontal="right" vertical="center" wrapText="1"/>
    </xf>
    <xf numFmtId="180" fontId="50" fillId="34" borderId="10" xfId="0" applyNumberFormat="1" applyFont="1" applyFill="1" applyBorder="1" applyAlignment="1">
      <alignment horizontal="right" vertical="center"/>
    </xf>
    <xf numFmtId="4" fontId="50" fillId="5" borderId="10" xfId="0" applyNumberFormat="1" applyFont="1" applyFill="1" applyBorder="1" applyAlignment="1">
      <alignment horizontal="right" vertical="center"/>
    </xf>
    <xf numFmtId="179" fontId="50" fillId="33" borderId="10" xfId="42" applyFont="1" applyFill="1" applyBorder="1" applyAlignment="1">
      <alignment horizontal="right" vertical="center" wrapText="1"/>
    </xf>
    <xf numFmtId="180" fontId="50" fillId="13" borderId="10" xfId="0" applyNumberFormat="1" applyFont="1" applyFill="1" applyBorder="1" applyAlignment="1">
      <alignment horizontal="right" vertical="center" wrapText="1"/>
    </xf>
    <xf numFmtId="179" fontId="49" fillId="13" borderId="10" xfId="0" applyNumberFormat="1" applyFont="1" applyFill="1" applyBorder="1" applyAlignment="1">
      <alignment horizontal="right" vertical="center" wrapText="1"/>
    </xf>
    <xf numFmtId="179" fontId="50" fillId="34" borderId="10" xfId="42" applyFont="1" applyFill="1" applyBorder="1" applyAlignment="1">
      <alignment horizontal="right" vertical="center" wrapText="1"/>
    </xf>
    <xf numFmtId="179" fontId="50" fillId="5" borderId="10" xfId="42" applyFont="1" applyFill="1" applyBorder="1" applyAlignment="1">
      <alignment horizontal="right" vertical="center" wrapText="1"/>
    </xf>
    <xf numFmtId="179" fontId="48" fillId="34" borderId="10" xfId="42" applyFont="1" applyFill="1" applyBorder="1" applyAlignment="1">
      <alignment horizontal="right" vertical="center" wrapText="1"/>
    </xf>
    <xf numFmtId="180" fontId="48" fillId="34" borderId="10" xfId="0" applyNumberFormat="1" applyFont="1" applyFill="1" applyBorder="1" applyAlignment="1">
      <alignment horizontal="right" vertical="center"/>
    </xf>
    <xf numFmtId="179" fontId="49" fillId="13" borderId="10" xfId="42" applyFont="1" applyFill="1" applyBorder="1" applyAlignment="1">
      <alignment horizontal="right" vertical="center" wrapText="1"/>
    </xf>
    <xf numFmtId="179" fontId="53" fillId="34" borderId="10" xfId="42" applyFont="1" applyFill="1" applyBorder="1" applyAlignment="1">
      <alignment horizontal="right" vertical="center" wrapText="1"/>
    </xf>
    <xf numFmtId="179" fontId="53" fillId="5" borderId="10" xfId="42" applyFont="1" applyFill="1" applyBorder="1" applyAlignment="1">
      <alignment horizontal="right" vertical="center" wrapText="1"/>
    </xf>
    <xf numFmtId="179" fontId="54" fillId="34" borderId="10" xfId="42" applyFont="1" applyFill="1" applyBorder="1" applyAlignment="1">
      <alignment horizontal="right" vertical="center" wrapText="1"/>
    </xf>
    <xf numFmtId="181" fontId="54" fillId="5" borderId="10" xfId="0" applyNumberFormat="1" applyFont="1" applyFill="1" applyBorder="1" applyAlignment="1">
      <alignment horizontal="right" vertical="center" wrapText="1"/>
    </xf>
    <xf numFmtId="179" fontId="54" fillId="13" borderId="10" xfId="42" applyFont="1" applyFill="1" applyBorder="1" applyAlignment="1">
      <alignment horizontal="right" vertical="center" wrapText="1"/>
    </xf>
    <xf numFmtId="0" fontId="54" fillId="13" borderId="10" xfId="0" applyFont="1" applyFill="1" applyBorder="1" applyAlignment="1">
      <alignment horizontal="right" vertical="center" wrapText="1"/>
    </xf>
    <xf numFmtId="179" fontId="54" fillId="13" borderId="14" xfId="42" applyFont="1" applyFill="1" applyBorder="1" applyAlignment="1">
      <alignment horizontal="right" vertical="center" wrapText="1"/>
    </xf>
    <xf numFmtId="0" fontId="54" fillId="13" borderId="14" xfId="0" applyFont="1" applyFill="1" applyBorder="1" applyAlignment="1">
      <alignment horizontal="right" vertical="center" wrapText="1"/>
    </xf>
    <xf numFmtId="43" fontId="48" fillId="0" borderId="0" xfId="0" applyNumberFormat="1" applyFont="1" applyAlignment="1">
      <alignment horizontal="right"/>
    </xf>
    <xf numFmtId="0" fontId="46" fillId="12" borderId="28" xfId="0" applyFont="1" applyFill="1" applyBorder="1" applyAlignment="1">
      <alignment horizontal="left" vertical="center" wrapText="1"/>
    </xf>
    <xf numFmtId="0" fontId="46" fillId="12" borderId="29" xfId="0" applyFont="1" applyFill="1" applyBorder="1" applyAlignment="1">
      <alignment horizontal="left" vertical="center" wrapText="1"/>
    </xf>
    <xf numFmtId="179" fontId="46" fillId="12" borderId="29" xfId="42" applyFont="1" applyFill="1" applyBorder="1" applyAlignment="1">
      <alignment horizontal="left" vertical="center" wrapText="1"/>
    </xf>
    <xf numFmtId="0" fontId="46" fillId="12" borderId="30" xfId="0" applyFont="1" applyFill="1" applyBorder="1" applyAlignment="1">
      <alignment horizontal="left" vertical="center" wrapText="1"/>
    </xf>
    <xf numFmtId="9" fontId="49" fillId="0" borderId="0" xfId="59" applyFont="1" applyAlignment="1">
      <alignment horizontal="right"/>
    </xf>
    <xf numFmtId="9" fontId="48" fillId="0" borderId="10" xfId="59" applyFont="1" applyBorder="1" applyAlignment="1">
      <alignment horizontal="right"/>
    </xf>
    <xf numFmtId="9" fontId="48" fillId="0" borderId="24" xfId="59" applyFont="1" applyBorder="1" applyAlignment="1">
      <alignment horizontal="right"/>
    </xf>
    <xf numFmtId="9" fontId="48" fillId="34" borderId="10" xfId="59" applyFont="1" applyFill="1" applyBorder="1" applyAlignment="1">
      <alignment horizontal="right" vertical="center" wrapText="1"/>
    </xf>
    <xf numFmtId="9" fontId="48" fillId="34" borderId="10" xfId="59" applyFont="1" applyFill="1" applyBorder="1" applyAlignment="1">
      <alignment horizontal="right" vertical="center"/>
    </xf>
    <xf numFmtId="9" fontId="49" fillId="13" borderId="10" xfId="59" applyFont="1" applyFill="1" applyBorder="1" applyAlignment="1">
      <alignment horizontal="right" vertical="center" wrapText="1"/>
    </xf>
    <xf numFmtId="9" fontId="53" fillId="34" borderId="10" xfId="59" applyFont="1" applyFill="1" applyBorder="1" applyAlignment="1">
      <alignment horizontal="right" vertical="center" wrapText="1"/>
    </xf>
    <xf numFmtId="9" fontId="54" fillId="13" borderId="14" xfId="59" applyFont="1" applyFill="1" applyBorder="1" applyAlignment="1">
      <alignment horizontal="right" vertical="center" wrapText="1"/>
    </xf>
    <xf numFmtId="9" fontId="48" fillId="0" borderId="0" xfId="59" applyFont="1" applyAlignment="1">
      <alignment horizontal="right"/>
    </xf>
    <xf numFmtId="0" fontId="46" fillId="12" borderId="29" xfId="0" applyFont="1" applyFill="1" applyBorder="1" applyAlignment="1">
      <alignment horizontal="center" vertical="center" wrapText="1"/>
    </xf>
    <xf numFmtId="185" fontId="46" fillId="12" borderId="31" xfId="42" applyNumberFormat="1" applyFont="1" applyFill="1" applyBorder="1" applyAlignment="1">
      <alignment horizontal="center" vertical="center" wrapText="1"/>
    </xf>
    <xf numFmtId="9" fontId="46" fillId="12" borderId="29" xfId="59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right" vertical="center" wrapText="1"/>
    </xf>
    <xf numFmtId="0" fontId="53" fillId="33" borderId="13" xfId="0" applyFont="1" applyFill="1" applyBorder="1" applyAlignment="1">
      <alignment vertical="center" wrapText="1"/>
    </xf>
    <xf numFmtId="179" fontId="54" fillId="33" borderId="10" xfId="0" applyNumberFormat="1" applyFont="1" applyFill="1" applyBorder="1" applyAlignment="1">
      <alignment horizontal="right" vertical="center" wrapText="1"/>
    </xf>
    <xf numFmtId="0" fontId="54" fillId="33" borderId="13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vertical="center" wrapText="1"/>
    </xf>
    <xf numFmtId="9" fontId="48" fillId="33" borderId="10" xfId="0" applyNumberFormat="1" applyFont="1" applyFill="1" applyBorder="1" applyAlignment="1">
      <alignment horizontal="right" vertical="center" wrapText="1"/>
    </xf>
    <xf numFmtId="0" fontId="48" fillId="33" borderId="32" xfId="0" applyFont="1" applyFill="1" applyBorder="1" applyAlignment="1">
      <alignment vertical="center" wrapText="1"/>
    </xf>
    <xf numFmtId="9" fontId="53" fillId="5" borderId="10" xfId="59" applyFont="1" applyFill="1" applyBorder="1" applyAlignment="1">
      <alignment horizontal="right" vertical="center" wrapText="1"/>
    </xf>
    <xf numFmtId="9" fontId="49" fillId="34" borderId="26" xfId="59" applyFont="1" applyFill="1" applyBorder="1" applyAlignment="1">
      <alignment horizontal="right" vertical="center" wrapText="1"/>
    </xf>
    <xf numFmtId="9" fontId="49" fillId="34" borderId="10" xfId="59" applyFont="1" applyFill="1" applyBorder="1" applyAlignment="1">
      <alignment horizontal="right" vertical="center" wrapText="1"/>
    </xf>
    <xf numFmtId="9" fontId="49" fillId="5" borderId="26" xfId="59" applyFont="1" applyFill="1" applyBorder="1" applyAlignment="1">
      <alignment horizontal="right" vertical="center" wrapText="1"/>
    </xf>
    <xf numFmtId="9" fontId="49" fillId="5" borderId="10" xfId="59" applyFont="1" applyFill="1" applyBorder="1" applyAlignment="1">
      <alignment horizontal="right" vertical="center" wrapText="1"/>
    </xf>
    <xf numFmtId="179" fontId="48" fillId="34" borderId="15" xfId="42" applyFont="1" applyFill="1" applyBorder="1" applyAlignment="1">
      <alignment horizontal="right" vertical="center" wrapText="1"/>
    </xf>
    <xf numFmtId="179" fontId="48" fillId="34" borderId="12" xfId="42" applyFont="1" applyFill="1" applyBorder="1" applyAlignment="1">
      <alignment horizontal="right" vertical="center" wrapText="1"/>
    </xf>
    <xf numFmtId="179" fontId="48" fillId="34" borderId="20" xfId="42" applyFont="1" applyFill="1" applyBorder="1" applyAlignment="1">
      <alignment horizontal="right" vertical="center" wrapText="1"/>
    </xf>
    <xf numFmtId="179" fontId="48" fillId="34" borderId="10" xfId="42" applyFont="1" applyFill="1" applyBorder="1" applyAlignment="1">
      <alignment horizontal="right" vertical="center" wrapText="1"/>
    </xf>
    <xf numFmtId="179" fontId="48" fillId="33" borderId="20" xfId="42" applyFont="1" applyFill="1" applyBorder="1" applyAlignment="1">
      <alignment horizontal="right" vertical="center" wrapText="1"/>
    </xf>
    <xf numFmtId="179" fontId="48" fillId="33" borderId="10" xfId="42" applyFont="1" applyFill="1" applyBorder="1" applyAlignment="1">
      <alignment horizontal="right" vertical="center" wrapText="1"/>
    </xf>
    <xf numFmtId="179" fontId="50" fillId="33" borderId="16" xfId="42" applyFont="1" applyFill="1" applyBorder="1" applyAlignment="1">
      <alignment horizontal="right" vertical="center" wrapText="1"/>
    </xf>
    <xf numFmtId="9" fontId="50" fillId="34" borderId="26" xfId="59" applyFont="1" applyFill="1" applyBorder="1" applyAlignment="1">
      <alignment horizontal="right" vertical="center" wrapText="1"/>
    </xf>
    <xf numFmtId="9" fontId="48" fillId="34" borderId="26" xfId="59" applyFont="1" applyFill="1" applyBorder="1" applyAlignment="1">
      <alignment horizontal="right" vertical="center" wrapText="1"/>
    </xf>
    <xf numFmtId="9" fontId="50" fillId="34" borderId="10" xfId="59" applyFont="1" applyFill="1" applyBorder="1" applyAlignment="1">
      <alignment horizontal="right" vertical="center" wrapText="1"/>
    </xf>
    <xf numFmtId="179" fontId="48" fillId="34" borderId="10" xfId="42" applyFont="1" applyFill="1" applyBorder="1" applyAlignment="1">
      <alignment horizontal="right" vertical="center"/>
    </xf>
    <xf numFmtId="180" fontId="50" fillId="35" borderId="33" xfId="0" applyNumberFormat="1" applyFont="1" applyFill="1" applyBorder="1" applyAlignment="1">
      <alignment horizontal="right" vertical="center" wrapText="1"/>
    </xf>
    <xf numFmtId="180" fontId="50" fillId="35" borderId="12" xfId="0" applyNumberFormat="1" applyFont="1" applyFill="1" applyBorder="1" applyAlignment="1">
      <alignment horizontal="right" vertical="center" wrapText="1"/>
    </xf>
    <xf numFmtId="9" fontId="50" fillId="35" borderId="19" xfId="59" applyFont="1" applyFill="1" applyBorder="1" applyAlignment="1">
      <alignment horizontal="right" vertical="center" wrapText="1"/>
    </xf>
    <xf numFmtId="182" fontId="48" fillId="35" borderId="34" xfId="0" applyNumberFormat="1" applyFont="1" applyFill="1" applyBorder="1" applyAlignment="1">
      <alignment horizontal="right" vertical="center" wrapText="1"/>
    </xf>
    <xf numFmtId="182" fontId="48" fillId="35" borderId="10" xfId="0" applyNumberFormat="1" applyFont="1" applyFill="1" applyBorder="1" applyAlignment="1">
      <alignment horizontal="right" vertical="center" wrapText="1"/>
    </xf>
    <xf numFmtId="9" fontId="49" fillId="35" borderId="32" xfId="59" applyFont="1" applyFill="1" applyBorder="1" applyAlignment="1">
      <alignment horizontal="right" vertical="center" wrapText="1"/>
    </xf>
    <xf numFmtId="179" fontId="48" fillId="35" borderId="34" xfId="42" applyFont="1" applyFill="1" applyBorder="1" applyAlignment="1">
      <alignment horizontal="right" vertical="center" wrapText="1"/>
    </xf>
    <xf numFmtId="179" fontId="48" fillId="35" borderId="10" xfId="42" applyFont="1" applyFill="1" applyBorder="1" applyAlignment="1">
      <alignment horizontal="right" vertical="center" wrapText="1"/>
    </xf>
    <xf numFmtId="0" fontId="48" fillId="35" borderId="34" xfId="0" applyFont="1" applyFill="1" applyBorder="1" applyAlignment="1">
      <alignment horizontal="right" vertical="center" wrapText="1"/>
    </xf>
    <xf numFmtId="0" fontId="48" fillId="35" borderId="10" xfId="0" applyFont="1" applyFill="1" applyBorder="1" applyAlignment="1">
      <alignment horizontal="right" vertical="center" wrapText="1"/>
    </xf>
    <xf numFmtId="3" fontId="48" fillId="35" borderId="34" xfId="0" applyNumberFormat="1" applyFont="1" applyFill="1" applyBorder="1" applyAlignment="1">
      <alignment horizontal="right" vertical="center" wrapText="1"/>
    </xf>
    <xf numFmtId="3" fontId="48" fillId="35" borderId="10" xfId="0" applyNumberFormat="1" applyFont="1" applyFill="1" applyBorder="1" applyAlignment="1">
      <alignment horizontal="right" vertical="center" wrapText="1"/>
    </xf>
    <xf numFmtId="4" fontId="50" fillId="35" borderId="34" xfId="0" applyNumberFormat="1" applyFont="1" applyFill="1" applyBorder="1" applyAlignment="1">
      <alignment horizontal="right" vertical="center"/>
    </xf>
    <xf numFmtId="4" fontId="50" fillId="35" borderId="10" xfId="0" applyNumberFormat="1" applyFont="1" applyFill="1" applyBorder="1" applyAlignment="1">
      <alignment horizontal="right" vertical="center"/>
    </xf>
    <xf numFmtId="9" fontId="50" fillId="35" borderId="32" xfId="59" applyFont="1" applyFill="1" applyBorder="1" applyAlignment="1">
      <alignment horizontal="right" vertical="center" wrapText="1"/>
    </xf>
    <xf numFmtId="180" fontId="50" fillId="13" borderId="35" xfId="0" applyNumberFormat="1" applyFont="1" applyFill="1" applyBorder="1" applyAlignment="1">
      <alignment horizontal="right" vertical="center" wrapText="1"/>
    </xf>
    <xf numFmtId="180" fontId="50" fillId="13" borderId="14" xfId="0" applyNumberFormat="1" applyFont="1" applyFill="1" applyBorder="1" applyAlignment="1">
      <alignment horizontal="right" vertical="center" wrapText="1"/>
    </xf>
    <xf numFmtId="9" fontId="56" fillId="13" borderId="27" xfId="59" applyFont="1" applyFill="1" applyBorder="1" applyAlignment="1">
      <alignment horizontal="right" vertical="center" wrapText="1"/>
    </xf>
    <xf numFmtId="179" fontId="50" fillId="35" borderId="15" xfId="42" applyFont="1" applyFill="1" applyBorder="1" applyAlignment="1">
      <alignment horizontal="right" vertical="center" wrapText="1"/>
    </xf>
    <xf numFmtId="179" fontId="50" fillId="35" borderId="12" xfId="42" applyFont="1" applyFill="1" applyBorder="1" applyAlignment="1">
      <alignment horizontal="right" vertical="center" wrapText="1"/>
    </xf>
    <xf numFmtId="3" fontId="48" fillId="35" borderId="20" xfId="0" applyNumberFormat="1" applyFont="1" applyFill="1" applyBorder="1" applyAlignment="1">
      <alignment horizontal="right" vertical="center" wrapText="1"/>
    </xf>
    <xf numFmtId="9" fontId="49" fillId="35" borderId="13" xfId="59" applyFont="1" applyFill="1" applyBorder="1" applyAlignment="1">
      <alignment horizontal="right" vertical="center" wrapText="1"/>
    </xf>
    <xf numFmtId="179" fontId="50" fillId="35" borderId="20" xfId="42" applyFont="1" applyFill="1" applyBorder="1" applyAlignment="1">
      <alignment horizontal="right" vertical="center" wrapText="1"/>
    </xf>
    <xf numFmtId="179" fontId="50" fillId="35" borderId="10" xfId="42" applyFont="1" applyFill="1" applyBorder="1" applyAlignment="1">
      <alignment horizontal="right" vertical="center" wrapText="1"/>
    </xf>
    <xf numFmtId="9" fontId="50" fillId="35" borderId="13" xfId="59" applyFont="1" applyFill="1" applyBorder="1" applyAlignment="1">
      <alignment horizontal="right" vertical="center" wrapText="1"/>
    </xf>
    <xf numFmtId="180" fontId="50" fillId="13" borderId="20" xfId="0" applyNumberFormat="1" applyFont="1" applyFill="1" applyBorder="1" applyAlignment="1">
      <alignment horizontal="right" vertical="center" wrapText="1"/>
    </xf>
    <xf numFmtId="9" fontId="56" fillId="13" borderId="13" xfId="59" applyFont="1" applyFill="1" applyBorder="1" applyAlignment="1">
      <alignment horizontal="right" vertical="center" wrapText="1"/>
    </xf>
    <xf numFmtId="179" fontId="49" fillId="13" borderId="20" xfId="42" applyFont="1" applyFill="1" applyBorder="1" applyAlignment="1">
      <alignment horizontal="right" vertical="center" wrapText="1"/>
    </xf>
    <xf numFmtId="9" fontId="53" fillId="13" borderId="13" xfId="59" applyFont="1" applyFill="1" applyBorder="1" applyAlignment="1">
      <alignment horizontal="right" vertical="center" wrapText="1"/>
    </xf>
    <xf numFmtId="179" fontId="53" fillId="35" borderId="20" xfId="42" applyFont="1" applyFill="1" applyBorder="1" applyAlignment="1">
      <alignment horizontal="right" vertical="center" wrapText="1"/>
    </xf>
    <xf numFmtId="179" fontId="53" fillId="35" borderId="10" xfId="42" applyFont="1" applyFill="1" applyBorder="1" applyAlignment="1">
      <alignment horizontal="right" vertical="center" wrapText="1"/>
    </xf>
    <xf numFmtId="9" fontId="53" fillId="35" borderId="13" xfId="59" applyFont="1" applyFill="1" applyBorder="1" applyAlignment="1">
      <alignment horizontal="right" vertical="center" wrapText="1"/>
    </xf>
    <xf numFmtId="181" fontId="54" fillId="35" borderId="20" xfId="0" applyNumberFormat="1" applyFont="1" applyFill="1" applyBorder="1" applyAlignment="1">
      <alignment horizontal="right" vertical="center" wrapText="1"/>
    </xf>
    <xf numFmtId="181" fontId="54" fillId="35" borderId="10" xfId="0" applyNumberFormat="1" applyFont="1" applyFill="1" applyBorder="1" applyAlignment="1">
      <alignment horizontal="right" vertical="center" wrapText="1"/>
    </xf>
    <xf numFmtId="179" fontId="54" fillId="13" borderId="20" xfId="42" applyFont="1" applyFill="1" applyBorder="1" applyAlignment="1">
      <alignment horizontal="right" vertical="center" wrapText="1"/>
    </xf>
    <xf numFmtId="9" fontId="54" fillId="13" borderId="13" xfId="59" applyFont="1" applyFill="1" applyBorder="1" applyAlignment="1">
      <alignment horizontal="right" vertical="center" wrapText="1"/>
    </xf>
    <xf numFmtId="179" fontId="54" fillId="13" borderId="16" xfId="42" applyFont="1" applyFill="1" applyBorder="1" applyAlignment="1">
      <alignment horizontal="right" vertical="center" wrapText="1"/>
    </xf>
    <xf numFmtId="179" fontId="31" fillId="33" borderId="26" xfId="42" applyFont="1" applyFill="1" applyBorder="1" applyAlignment="1">
      <alignment horizontal="right" vertical="center" wrapText="1"/>
    </xf>
    <xf numFmtId="43" fontId="48" fillId="33" borderId="26" xfId="0" applyNumberFormat="1" applyFont="1" applyFill="1" applyBorder="1" applyAlignment="1">
      <alignment horizontal="right" vertical="center" wrapText="1"/>
    </xf>
    <xf numFmtId="179" fontId="48" fillId="35" borderId="15" xfId="0" applyNumberFormat="1" applyFont="1" applyFill="1" applyBorder="1" applyAlignment="1">
      <alignment horizontal="right" vertical="center" wrapText="1"/>
    </xf>
    <xf numFmtId="179" fontId="48" fillId="35" borderId="12" xfId="0" applyNumberFormat="1" applyFont="1" applyFill="1" applyBorder="1" applyAlignment="1">
      <alignment horizontal="right" vertical="center" wrapText="1"/>
    </xf>
    <xf numFmtId="179" fontId="48" fillId="35" borderId="12" xfId="42" applyNumberFormat="1" applyFont="1" applyFill="1" applyBorder="1" applyAlignment="1">
      <alignment horizontal="right" vertical="center" wrapText="1"/>
    </xf>
    <xf numFmtId="43" fontId="48" fillId="35" borderId="12" xfId="0" applyNumberFormat="1" applyFont="1" applyFill="1" applyBorder="1" applyAlignment="1">
      <alignment/>
    </xf>
    <xf numFmtId="43" fontId="48" fillId="35" borderId="10" xfId="0" applyNumberFormat="1" applyFont="1" applyFill="1" applyBorder="1" applyAlignment="1">
      <alignment/>
    </xf>
    <xf numFmtId="9" fontId="48" fillId="35" borderId="19" xfId="59" applyFont="1" applyFill="1" applyBorder="1" applyAlignment="1">
      <alignment/>
    </xf>
    <xf numFmtId="179" fontId="48" fillId="35" borderId="10" xfId="42" applyNumberFormat="1" applyFont="1" applyFill="1" applyBorder="1" applyAlignment="1">
      <alignment horizontal="right" vertical="center" wrapText="1"/>
    </xf>
    <xf numFmtId="10" fontId="48" fillId="34" borderId="19" xfId="59" applyNumberFormat="1" applyFont="1" applyFill="1" applyBorder="1" applyAlignment="1">
      <alignment horizontal="right" vertical="center" wrapText="1"/>
    </xf>
    <xf numFmtId="10" fontId="48" fillId="33" borderId="13" xfId="59" applyNumberFormat="1" applyFont="1" applyFill="1" applyBorder="1" applyAlignment="1">
      <alignment horizontal="right" vertical="center" wrapText="1"/>
    </xf>
    <xf numFmtId="0" fontId="48" fillId="35" borderId="0" xfId="0" applyFont="1" applyFill="1" applyAlignment="1">
      <alignment horizontal="right"/>
    </xf>
    <xf numFmtId="0" fontId="48" fillId="35" borderId="10" xfId="0" applyFont="1" applyFill="1" applyBorder="1" applyAlignment="1">
      <alignment horizontal="right"/>
    </xf>
    <xf numFmtId="0" fontId="48" fillId="35" borderId="24" xfId="0" applyFont="1" applyFill="1" applyBorder="1" applyAlignment="1">
      <alignment horizontal="right"/>
    </xf>
    <xf numFmtId="179" fontId="49" fillId="35" borderId="10" xfId="42" applyFont="1" applyFill="1" applyBorder="1" applyAlignment="1">
      <alignment horizontal="right" vertical="center" wrapText="1"/>
    </xf>
    <xf numFmtId="179" fontId="48" fillId="35" borderId="0" xfId="0" applyNumberFormat="1" applyFont="1" applyFill="1" applyAlignment="1">
      <alignment horizontal="right"/>
    </xf>
    <xf numFmtId="43" fontId="50" fillId="33" borderId="14" xfId="0" applyNumberFormat="1" applyFont="1" applyFill="1" applyBorder="1" applyAlignment="1">
      <alignment/>
    </xf>
    <xf numFmtId="179" fontId="50" fillId="33" borderId="14" xfId="0" applyNumberFormat="1" applyFont="1" applyFill="1" applyBorder="1" applyAlignment="1">
      <alignment/>
    </xf>
    <xf numFmtId="180" fontId="31" fillId="13" borderId="14" xfId="0" applyNumberFormat="1" applyFont="1" applyFill="1" applyBorder="1" applyAlignment="1">
      <alignment horizontal="right" vertical="center" wrapText="1"/>
    </xf>
    <xf numFmtId="9" fontId="50" fillId="33" borderId="27" xfId="59" applyNumberFormat="1" applyFont="1" applyFill="1" applyBorder="1" applyAlignment="1">
      <alignment horizontal="right" vertical="center" wrapText="1"/>
    </xf>
    <xf numFmtId="9" fontId="50" fillId="33" borderId="27" xfId="59" applyNumberFormat="1" applyFont="1" applyFill="1" applyBorder="1" applyAlignment="1">
      <alignment/>
    </xf>
    <xf numFmtId="9" fontId="54" fillId="13" borderId="27" xfId="59" applyNumberFormat="1" applyFont="1" applyFill="1" applyBorder="1" applyAlignment="1">
      <alignment horizontal="right" vertical="center" wrapText="1"/>
    </xf>
    <xf numFmtId="192" fontId="48" fillId="0" borderId="0" xfId="42" applyNumberFormat="1" applyFont="1" applyAlignment="1">
      <alignment/>
    </xf>
    <xf numFmtId="0" fontId="49" fillId="33" borderId="28" xfId="0" applyFont="1" applyFill="1" applyBorder="1" applyAlignment="1">
      <alignment vertical="center" wrapText="1"/>
    </xf>
    <xf numFmtId="0" fontId="49" fillId="33" borderId="29" xfId="0" applyFont="1" applyFill="1" applyBorder="1" applyAlignment="1">
      <alignment vertical="center" wrapText="1"/>
    </xf>
    <xf numFmtId="0" fontId="49" fillId="33" borderId="30" xfId="0" applyFont="1" applyFill="1" applyBorder="1" applyAlignment="1">
      <alignment vertical="center" wrapText="1"/>
    </xf>
    <xf numFmtId="0" fontId="49" fillId="33" borderId="2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center" wrapText="1"/>
    </xf>
    <xf numFmtId="0" fontId="49" fillId="33" borderId="13" xfId="0" applyFont="1" applyFill="1" applyBorder="1" applyAlignment="1">
      <alignment vertical="center" wrapText="1"/>
    </xf>
    <xf numFmtId="0" fontId="49" fillId="33" borderId="36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49" fillId="33" borderId="39" xfId="0" applyFont="1" applyFill="1" applyBorder="1" applyAlignment="1">
      <alignment horizontal="center" vertical="center" wrapText="1"/>
    </xf>
    <xf numFmtId="0" fontId="49" fillId="33" borderId="40" xfId="0" applyFont="1" applyFill="1" applyBorder="1" applyAlignment="1">
      <alignment horizontal="center" vertical="center" wrapText="1"/>
    </xf>
    <xf numFmtId="0" fontId="49" fillId="33" borderId="41" xfId="0" applyFont="1" applyFill="1" applyBorder="1" applyAlignment="1">
      <alignment horizontal="center" vertical="center" wrapText="1"/>
    </xf>
    <xf numFmtId="0" fontId="49" fillId="33" borderId="42" xfId="0" applyFont="1" applyFill="1" applyBorder="1" applyAlignment="1">
      <alignment horizontal="center" vertical="center" wrapText="1"/>
    </xf>
    <xf numFmtId="0" fontId="49" fillId="33" borderId="43" xfId="0" applyFont="1" applyFill="1" applyBorder="1" applyAlignment="1">
      <alignment horizontal="center" vertical="center" wrapText="1"/>
    </xf>
    <xf numFmtId="0" fontId="49" fillId="33" borderId="44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9" fontId="49" fillId="33" borderId="19" xfId="59" applyFont="1" applyFill="1" applyBorder="1" applyAlignment="1">
      <alignment horizontal="center" vertical="center" wrapText="1"/>
    </xf>
    <xf numFmtId="9" fontId="49" fillId="33" borderId="45" xfId="59" applyFont="1" applyFill="1" applyBorder="1" applyAlignment="1">
      <alignment horizontal="center" vertical="center" wrapText="1"/>
    </xf>
    <xf numFmtId="179" fontId="49" fillId="33" borderId="12" xfId="42" applyFont="1" applyFill="1" applyBorder="1" applyAlignment="1">
      <alignment horizontal="center" vertical="center" wrapText="1"/>
    </xf>
    <xf numFmtId="179" fontId="49" fillId="33" borderId="24" xfId="42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2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zoomScale="76" zoomScaleNormal="76" zoomScaleSheetLayoutView="70" zoomScalePageLayoutView="0" workbookViewId="0" topLeftCell="A10">
      <pane xSplit="1" topLeftCell="B1" activePane="topRight" state="frozen"/>
      <selection pane="topLeft" activeCell="A7" sqref="A7"/>
      <selection pane="topRight" activeCell="E44" sqref="E44"/>
    </sheetView>
  </sheetViews>
  <sheetFormatPr defaultColWidth="10.57421875" defaultRowHeight="15"/>
  <cols>
    <col min="1" max="1" width="22.421875" style="4" customWidth="1"/>
    <col min="2" max="2" width="47.57421875" style="4" customWidth="1"/>
    <col min="3" max="3" width="18.57421875" style="67" customWidth="1"/>
    <col min="4" max="4" width="16.57421875" style="67" customWidth="1"/>
    <col min="5" max="5" width="17.57421875" style="67" customWidth="1"/>
    <col min="6" max="6" width="11.57421875" style="114" customWidth="1"/>
    <col min="7" max="7" width="18.421875" style="67" customWidth="1"/>
    <col min="8" max="8" width="17.57421875" style="190" customWidth="1"/>
    <col min="9" max="9" width="16.57421875" style="67" customWidth="1"/>
    <col min="10" max="10" width="17.140625" style="114" customWidth="1"/>
    <col min="11" max="11" width="18.57421875" style="67" customWidth="1"/>
    <col min="12" max="12" width="16.57421875" style="67" customWidth="1"/>
    <col min="13" max="13" width="17.57421875" style="67" customWidth="1"/>
    <col min="14" max="14" width="11.57421875" style="114" customWidth="1"/>
    <col min="15" max="15" width="18.421875" style="67" customWidth="1"/>
    <col min="16" max="16" width="17.57421875" style="67" customWidth="1"/>
    <col min="17" max="17" width="16.57421875" style="67" customWidth="1"/>
    <col min="18" max="18" width="8.421875" style="114" customWidth="1"/>
    <col min="19" max="19" width="25.57421875" style="68" customWidth="1"/>
    <col min="20" max="20" width="22.57421875" style="67" customWidth="1"/>
    <col min="21" max="21" width="20.57421875" style="4" customWidth="1"/>
    <col min="22" max="24" width="28.57421875" style="0" customWidth="1"/>
    <col min="25" max="25" width="34.421875" style="0" customWidth="1"/>
  </cols>
  <sheetData>
    <row r="1" spans="1:14" ht="14.25">
      <c r="A1" s="3" t="s">
        <v>0</v>
      </c>
      <c r="B1" s="3"/>
      <c r="C1" s="66"/>
      <c r="D1" s="66"/>
      <c r="E1" s="66"/>
      <c r="F1" s="106"/>
      <c r="K1" s="66"/>
      <c r="L1" s="66"/>
      <c r="M1" s="66"/>
      <c r="N1" s="106"/>
    </row>
    <row r="2" spans="1:14" ht="14.25">
      <c r="A2" s="3"/>
      <c r="B2" s="3"/>
      <c r="C2" s="66"/>
      <c r="D2" s="66"/>
      <c r="E2" s="66"/>
      <c r="F2" s="106"/>
      <c r="K2" s="66"/>
      <c r="L2" s="66"/>
      <c r="M2" s="66"/>
      <c r="N2" s="106"/>
    </row>
    <row r="3" spans="1:14" ht="14.25">
      <c r="A3" s="3" t="s">
        <v>40</v>
      </c>
      <c r="B3" s="3"/>
      <c r="C3" s="66"/>
      <c r="D3" s="66"/>
      <c r="E3" s="66"/>
      <c r="F3" s="106"/>
      <c r="K3" s="66"/>
      <c r="L3" s="66"/>
      <c r="M3" s="66"/>
      <c r="N3" s="106"/>
    </row>
    <row r="4" spans="1:21" ht="14.25">
      <c r="A4" s="38"/>
      <c r="B4" s="38"/>
      <c r="C4" s="69"/>
      <c r="D4" s="69"/>
      <c r="E4" s="69"/>
      <c r="F4" s="107"/>
      <c r="G4" s="69"/>
      <c r="H4" s="191"/>
      <c r="I4" s="69"/>
      <c r="J4" s="107"/>
      <c r="K4" s="69"/>
      <c r="L4" s="69"/>
      <c r="M4" s="69"/>
      <c r="N4" s="107"/>
      <c r="O4" s="69"/>
      <c r="P4" s="69"/>
      <c r="Q4" s="69"/>
      <c r="R4" s="107"/>
      <c r="S4" s="70"/>
      <c r="T4" s="69"/>
      <c r="U4" s="38"/>
    </row>
    <row r="5" spans="1:21" ht="14.25">
      <c r="A5" s="39" t="s">
        <v>45</v>
      </c>
      <c r="B5" s="38"/>
      <c r="C5" s="69"/>
      <c r="D5" s="69"/>
      <c r="E5" s="69"/>
      <c r="F5" s="107"/>
      <c r="G5" s="69"/>
      <c r="H5" s="191"/>
      <c r="I5" s="69"/>
      <c r="J5" s="107"/>
      <c r="K5" s="69"/>
      <c r="L5" s="69"/>
      <c r="M5" s="69"/>
      <c r="N5" s="107"/>
      <c r="O5" s="69"/>
      <c r="P5" s="69"/>
      <c r="Q5" s="69"/>
      <c r="R5" s="107"/>
      <c r="S5" s="70"/>
      <c r="T5" s="69"/>
      <c r="U5" s="38"/>
    </row>
    <row r="6" spans="1:21" ht="15" thickBot="1">
      <c r="A6" s="40"/>
      <c r="B6" s="40"/>
      <c r="C6" s="71"/>
      <c r="D6" s="71"/>
      <c r="E6" s="71"/>
      <c r="F6" s="108"/>
      <c r="G6" s="71"/>
      <c r="H6" s="192"/>
      <c r="I6" s="71"/>
      <c r="J6" s="108"/>
      <c r="K6" s="71"/>
      <c r="L6" s="71"/>
      <c r="M6" s="71"/>
      <c r="N6" s="108"/>
      <c r="O6" s="71"/>
      <c r="P6" s="71"/>
      <c r="Q6" s="71"/>
      <c r="R6" s="108"/>
      <c r="S6" s="72"/>
      <c r="T6" s="71"/>
      <c r="U6" s="40"/>
    </row>
    <row r="7" spans="1:21" s="1" customFormat="1" ht="166.5" customHeight="1" thickBot="1">
      <c r="A7" s="102" t="s">
        <v>1</v>
      </c>
      <c r="B7" s="103" t="s">
        <v>2</v>
      </c>
      <c r="C7" s="103" t="s">
        <v>116</v>
      </c>
      <c r="D7" s="115" t="s">
        <v>102</v>
      </c>
      <c r="E7" s="116" t="s">
        <v>103</v>
      </c>
      <c r="F7" s="117" t="s">
        <v>101</v>
      </c>
      <c r="G7" s="103" t="s">
        <v>114</v>
      </c>
      <c r="H7" s="115" t="s">
        <v>104</v>
      </c>
      <c r="I7" s="116" t="s">
        <v>105</v>
      </c>
      <c r="J7" s="117" t="s">
        <v>101</v>
      </c>
      <c r="K7" s="103" t="s">
        <v>92</v>
      </c>
      <c r="L7" s="115" t="s">
        <v>102</v>
      </c>
      <c r="M7" s="116" t="s">
        <v>103</v>
      </c>
      <c r="N7" s="117" t="s">
        <v>101</v>
      </c>
      <c r="O7" s="103" t="s">
        <v>93</v>
      </c>
      <c r="P7" s="115" t="s">
        <v>104</v>
      </c>
      <c r="Q7" s="116" t="s">
        <v>105</v>
      </c>
      <c r="R7" s="117" t="s">
        <v>101</v>
      </c>
      <c r="S7" s="104" t="s">
        <v>117</v>
      </c>
      <c r="T7" s="103" t="s">
        <v>79</v>
      </c>
      <c r="U7" s="105" t="s">
        <v>25</v>
      </c>
    </row>
    <row r="8" spans="1:21" ht="34.5" customHeight="1" thickBot="1">
      <c r="A8" s="202" t="s">
        <v>72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4"/>
    </row>
    <row r="9" spans="1:21" ht="75.75" customHeight="1">
      <c r="A9" s="41" t="s">
        <v>3</v>
      </c>
      <c r="B9" s="42" t="s">
        <v>71</v>
      </c>
      <c r="C9" s="73">
        <f>C10+C11+C12+C13+C14</f>
        <v>79500</v>
      </c>
      <c r="D9" s="73">
        <f>D10+D11+D12+D13+D14</f>
        <v>72668.26000000001</v>
      </c>
      <c r="E9" s="73">
        <f>E10+E11+E12+E13+E14</f>
        <v>5396.700000000001</v>
      </c>
      <c r="F9" s="138">
        <f>(D9+E9)/C9</f>
        <v>0.9819491823899372</v>
      </c>
      <c r="G9" s="142">
        <f>G10+G11+G12+G13+G14</f>
        <v>112500</v>
      </c>
      <c r="H9" s="143">
        <f>H10+H11+H12+H13+H14</f>
        <v>86887</v>
      </c>
      <c r="I9" s="143">
        <f>I10+I11+I12+I13+I14</f>
        <v>0</v>
      </c>
      <c r="J9" s="144">
        <f aca="true" t="shared" si="0" ref="J9:J22">(H9+I9)/G9</f>
        <v>0.7723288888888888</v>
      </c>
      <c r="K9" s="73">
        <f>K10+K11+K12+K13+K14</f>
        <v>72000</v>
      </c>
      <c r="L9" s="73">
        <f>L10+L11+L12+L13+L14</f>
        <v>71744.62</v>
      </c>
      <c r="M9" s="73">
        <f>M10+M11+M12+M13+M14</f>
        <v>0</v>
      </c>
      <c r="N9" s="127">
        <f>(L9+M9)/K9</f>
        <v>0.9964530555555555</v>
      </c>
      <c r="O9" s="74">
        <f>O10+O11+O12+O13+O14</f>
        <v>105740</v>
      </c>
      <c r="P9" s="74">
        <f>P10+P11+P12+P13+P14</f>
        <v>105740</v>
      </c>
      <c r="Q9" s="74">
        <f>Q10+Q11+Q12+Q13+Q14</f>
        <v>0</v>
      </c>
      <c r="R9" s="129">
        <f>(P9+Q9)/O9</f>
        <v>1</v>
      </c>
      <c r="S9" s="75">
        <f>C9+G9+K9+O9</f>
        <v>369740</v>
      </c>
      <c r="T9" s="180"/>
      <c r="U9" s="125"/>
    </row>
    <row r="10" spans="1:21" ht="63" customHeight="1">
      <c r="A10" s="43" t="s">
        <v>4</v>
      </c>
      <c r="B10" s="44" t="s">
        <v>70</v>
      </c>
      <c r="C10" s="54">
        <v>11500</v>
      </c>
      <c r="D10" s="54">
        <v>11368.79</v>
      </c>
      <c r="E10" s="54"/>
      <c r="F10" s="139">
        <f aca="true" t="shared" si="1" ref="F10:F21">(D10+E10)/C10</f>
        <v>0.9885904347826088</v>
      </c>
      <c r="G10" s="145">
        <v>7500</v>
      </c>
      <c r="H10" s="146"/>
      <c r="I10" s="146"/>
      <c r="J10" s="147">
        <f t="shared" si="0"/>
        <v>0</v>
      </c>
      <c r="K10" s="54">
        <v>10000</v>
      </c>
      <c r="L10" s="54">
        <v>10000</v>
      </c>
      <c r="M10" s="54"/>
      <c r="N10" s="127">
        <f aca="true" t="shared" si="2" ref="N10:N21">(L10+M10)/K10</f>
        <v>1</v>
      </c>
      <c r="O10" s="76"/>
      <c r="P10" s="76"/>
      <c r="Q10" s="76"/>
      <c r="R10" s="129"/>
      <c r="S10" s="179">
        <f aca="true" t="shared" si="3" ref="S10:S21">C10+G10+K10+O10</f>
        <v>29000</v>
      </c>
      <c r="T10" s="124"/>
      <c r="U10" s="123" t="s">
        <v>106</v>
      </c>
    </row>
    <row r="11" spans="1:21" ht="106.5" customHeight="1">
      <c r="A11" s="43" t="s">
        <v>5</v>
      </c>
      <c r="B11" s="45" t="s">
        <v>69</v>
      </c>
      <c r="C11" s="77">
        <v>0</v>
      </c>
      <c r="D11" s="77"/>
      <c r="E11" s="77"/>
      <c r="F11" s="127"/>
      <c r="G11" s="148">
        <v>50000</v>
      </c>
      <c r="H11" s="146">
        <v>38596.7</v>
      </c>
      <c r="I11" s="149"/>
      <c r="J11" s="147">
        <f t="shared" si="0"/>
        <v>0.7719339999999999</v>
      </c>
      <c r="K11" s="77"/>
      <c r="L11" s="77"/>
      <c r="M11" s="77"/>
      <c r="N11" s="127"/>
      <c r="O11" s="78">
        <v>35740</v>
      </c>
      <c r="P11" s="78">
        <v>35740</v>
      </c>
      <c r="Q11" s="78"/>
      <c r="R11" s="129">
        <f aca="true" t="shared" si="4" ref="R11:R21">(P11+Q11)/O11</f>
        <v>1</v>
      </c>
      <c r="S11" s="179">
        <f t="shared" si="3"/>
        <v>85740</v>
      </c>
      <c r="T11" s="124"/>
      <c r="U11" s="123" t="s">
        <v>81</v>
      </c>
    </row>
    <row r="12" spans="1:21" ht="60" customHeight="1">
      <c r="A12" s="43" t="s">
        <v>6</v>
      </c>
      <c r="B12" s="45" t="s">
        <v>68</v>
      </c>
      <c r="C12" s="54">
        <v>0</v>
      </c>
      <c r="D12" s="54"/>
      <c r="E12" s="54"/>
      <c r="F12" s="127"/>
      <c r="G12" s="148">
        <v>30000</v>
      </c>
      <c r="H12" s="149">
        <v>28000</v>
      </c>
      <c r="I12" s="149"/>
      <c r="J12" s="147">
        <f t="shared" si="0"/>
        <v>0.9333333333333333</v>
      </c>
      <c r="K12" s="54"/>
      <c r="L12" s="54"/>
      <c r="M12" s="54"/>
      <c r="N12" s="127"/>
      <c r="O12" s="78">
        <v>70000</v>
      </c>
      <c r="P12" s="78">
        <v>70000</v>
      </c>
      <c r="Q12" s="78">
        <v>0</v>
      </c>
      <c r="R12" s="129">
        <f t="shared" si="4"/>
        <v>1</v>
      </c>
      <c r="S12" s="179">
        <f t="shared" si="3"/>
        <v>100000</v>
      </c>
      <c r="T12" s="124"/>
      <c r="U12" s="123" t="s">
        <v>81</v>
      </c>
    </row>
    <row r="13" spans="1:21" ht="53.25" customHeight="1">
      <c r="A13" s="43" t="s">
        <v>46</v>
      </c>
      <c r="B13" s="45" t="s">
        <v>67</v>
      </c>
      <c r="C13" s="79">
        <v>0</v>
      </c>
      <c r="D13" s="79"/>
      <c r="E13" s="79"/>
      <c r="F13" s="127"/>
      <c r="G13" s="150">
        <v>25000</v>
      </c>
      <c r="H13" s="151">
        <v>20290.3</v>
      </c>
      <c r="I13" s="151"/>
      <c r="J13" s="147">
        <f t="shared" si="0"/>
        <v>0.811612</v>
      </c>
      <c r="K13" s="79"/>
      <c r="L13" s="79"/>
      <c r="M13" s="79"/>
      <c r="N13" s="127"/>
      <c r="O13" s="80"/>
      <c r="P13" s="80"/>
      <c r="Q13" s="80"/>
      <c r="R13" s="129"/>
      <c r="S13" s="179">
        <f t="shared" si="3"/>
        <v>25000</v>
      </c>
      <c r="T13" s="124"/>
      <c r="U13" s="123" t="s">
        <v>82</v>
      </c>
    </row>
    <row r="14" spans="1:21" ht="80.25" customHeight="1">
      <c r="A14" s="43" t="s">
        <v>47</v>
      </c>
      <c r="B14" s="45" t="s">
        <v>66</v>
      </c>
      <c r="C14" s="81">
        <v>68000</v>
      </c>
      <c r="D14" s="81">
        <v>61299.47</v>
      </c>
      <c r="E14" s="81">
        <v>5396.700000000001</v>
      </c>
      <c r="F14" s="139">
        <f t="shared" si="1"/>
        <v>0.9808260294117647</v>
      </c>
      <c r="G14" s="152"/>
      <c r="H14" s="153"/>
      <c r="I14" s="153"/>
      <c r="J14" s="147" t="e">
        <f t="shared" si="0"/>
        <v>#DIV/0!</v>
      </c>
      <c r="K14" s="81">
        <v>62000</v>
      </c>
      <c r="L14" s="81">
        <v>61744.62</v>
      </c>
      <c r="M14" s="81"/>
      <c r="N14" s="127">
        <f t="shared" si="2"/>
        <v>0.9958809677419356</v>
      </c>
      <c r="O14" s="82"/>
      <c r="P14" s="82"/>
      <c r="Q14" s="82"/>
      <c r="R14" s="129"/>
      <c r="S14" s="179">
        <f t="shared" si="3"/>
        <v>130000</v>
      </c>
      <c r="T14" s="124"/>
      <c r="U14" s="123" t="s">
        <v>107</v>
      </c>
    </row>
    <row r="15" spans="1:21" ht="40.5">
      <c r="A15" s="46" t="s">
        <v>7</v>
      </c>
      <c r="B15" s="47" t="s">
        <v>73</v>
      </c>
      <c r="C15" s="83">
        <f>SUM(C16:C21)</f>
        <v>338036.540523977</v>
      </c>
      <c r="D15" s="83">
        <f>SUM(D16:D21)</f>
        <v>278710.83</v>
      </c>
      <c r="E15" s="83">
        <f>SUM(E16:E21)</f>
        <v>478.21000000000004</v>
      </c>
      <c r="F15" s="138">
        <f t="shared" si="1"/>
        <v>0.8259137889863628</v>
      </c>
      <c r="G15" s="154">
        <f>G16+G17+G18+G19+G20+G21</f>
        <v>40000</v>
      </c>
      <c r="H15" s="155">
        <f>H16+H17+H18+H19+H20+H21</f>
        <v>11326</v>
      </c>
      <c r="I15" s="155">
        <f>I16+I17+I18+I19+I20+I21</f>
        <v>0</v>
      </c>
      <c r="J15" s="156">
        <f t="shared" si="0"/>
        <v>0.28315</v>
      </c>
      <c r="K15" s="83">
        <f>SUM(K16:K21)</f>
        <v>355000</v>
      </c>
      <c r="L15" s="83">
        <f>SUM(L16:L21)</f>
        <v>345000.02</v>
      </c>
      <c r="M15" s="83">
        <f>SUM(M16:M21)</f>
        <v>0</v>
      </c>
      <c r="N15" s="127">
        <f t="shared" si="2"/>
        <v>0.9718310422535211</v>
      </c>
      <c r="O15" s="84">
        <f>O16+O17+O18+O19+O20+O21</f>
        <v>110000</v>
      </c>
      <c r="P15" s="84">
        <f>P16+P17+P18+P19+P20+P21</f>
        <v>100482.5</v>
      </c>
      <c r="Q15" s="84">
        <f>Q16+Q17+Q18+Q19+Q20+Q21</f>
        <v>0</v>
      </c>
      <c r="R15" s="129">
        <f t="shared" si="4"/>
        <v>0.9134772727272727</v>
      </c>
      <c r="S15" s="75">
        <f t="shared" si="3"/>
        <v>843036.540523977</v>
      </c>
      <c r="T15" s="122"/>
      <c r="U15" s="123"/>
    </row>
    <row r="16" spans="1:21" ht="33" customHeight="1">
      <c r="A16" s="43" t="s">
        <v>8</v>
      </c>
      <c r="B16" s="44" t="s">
        <v>65</v>
      </c>
      <c r="C16" s="54">
        <v>10000</v>
      </c>
      <c r="D16" s="54">
        <v>9977.95</v>
      </c>
      <c r="E16" s="54"/>
      <c r="F16" s="139">
        <f t="shared" si="1"/>
        <v>0.9977950000000001</v>
      </c>
      <c r="G16" s="152"/>
      <c r="H16" s="153"/>
      <c r="I16" s="153"/>
      <c r="J16" s="147" t="e">
        <f t="shared" si="0"/>
        <v>#DIV/0!</v>
      </c>
      <c r="K16" s="54">
        <v>10000</v>
      </c>
      <c r="L16" s="54">
        <v>10000.02</v>
      </c>
      <c r="M16" s="54"/>
      <c r="N16" s="127">
        <f t="shared" si="2"/>
        <v>1.000002</v>
      </c>
      <c r="O16" s="82">
        <v>25000</v>
      </c>
      <c r="P16" s="78">
        <v>25000</v>
      </c>
      <c r="Q16" s="82"/>
      <c r="R16" s="129">
        <f t="shared" si="4"/>
        <v>1</v>
      </c>
      <c r="S16" s="179">
        <f t="shared" si="3"/>
        <v>45000</v>
      </c>
      <c r="T16" s="124"/>
      <c r="U16" s="123" t="s">
        <v>108</v>
      </c>
    </row>
    <row r="17" spans="1:21" ht="53.25" customHeight="1">
      <c r="A17" s="43" t="s">
        <v>9</v>
      </c>
      <c r="B17" s="44" t="s">
        <v>64</v>
      </c>
      <c r="C17" s="54">
        <v>126536.540523977</v>
      </c>
      <c r="D17" s="54">
        <v>130219.79000000001</v>
      </c>
      <c r="E17" s="54"/>
      <c r="F17" s="139">
        <f t="shared" si="1"/>
        <v>1.029108188518281</v>
      </c>
      <c r="G17" s="150"/>
      <c r="H17" s="151"/>
      <c r="I17" s="151"/>
      <c r="J17" s="147" t="e">
        <f t="shared" si="0"/>
        <v>#DIV/0!</v>
      </c>
      <c r="K17" s="54">
        <v>140000</v>
      </c>
      <c r="L17" s="54">
        <v>135000</v>
      </c>
      <c r="M17" s="54"/>
      <c r="N17" s="127">
        <f t="shared" si="2"/>
        <v>0.9642857142857143</v>
      </c>
      <c r="O17" s="80"/>
      <c r="P17" s="80"/>
      <c r="Q17" s="80"/>
      <c r="R17" s="129"/>
      <c r="S17" s="179">
        <f t="shared" si="3"/>
        <v>266536.540523977</v>
      </c>
      <c r="T17" s="124"/>
      <c r="U17" s="123" t="s">
        <v>109</v>
      </c>
    </row>
    <row r="18" spans="1:21" ht="54">
      <c r="A18" s="43" t="s">
        <v>10</v>
      </c>
      <c r="B18" s="44" t="s">
        <v>63</v>
      </c>
      <c r="C18" s="54">
        <v>21500</v>
      </c>
      <c r="D18" s="54">
        <v>17489.48</v>
      </c>
      <c r="E18" s="54"/>
      <c r="F18" s="139">
        <f t="shared" si="1"/>
        <v>0.8134641860465116</v>
      </c>
      <c r="G18" s="152"/>
      <c r="H18" s="153"/>
      <c r="I18" s="153"/>
      <c r="J18" s="147" t="e">
        <f t="shared" si="0"/>
        <v>#DIV/0!</v>
      </c>
      <c r="K18" s="54">
        <v>20000</v>
      </c>
      <c r="L18" s="54">
        <v>20000</v>
      </c>
      <c r="M18" s="54"/>
      <c r="N18" s="127">
        <f t="shared" si="2"/>
        <v>1</v>
      </c>
      <c r="O18" s="82">
        <v>20000</v>
      </c>
      <c r="P18" s="82">
        <v>23000</v>
      </c>
      <c r="Q18" s="82"/>
      <c r="R18" s="129">
        <f t="shared" si="4"/>
        <v>1.15</v>
      </c>
      <c r="S18" s="179">
        <f t="shared" si="3"/>
        <v>61500</v>
      </c>
      <c r="T18" s="124"/>
      <c r="U18" s="123" t="s">
        <v>110</v>
      </c>
    </row>
    <row r="19" spans="1:21" ht="54.75" customHeight="1">
      <c r="A19" s="43" t="s">
        <v>57</v>
      </c>
      <c r="B19" s="44" t="s">
        <v>62</v>
      </c>
      <c r="C19" s="54">
        <v>45000</v>
      </c>
      <c r="D19" s="54">
        <v>35397.44</v>
      </c>
      <c r="E19" s="54"/>
      <c r="F19" s="139">
        <f t="shared" si="1"/>
        <v>0.7866097777777779</v>
      </c>
      <c r="G19" s="152">
        <v>5750</v>
      </c>
      <c r="H19" s="153"/>
      <c r="I19" s="153"/>
      <c r="J19" s="147">
        <f t="shared" si="0"/>
        <v>0</v>
      </c>
      <c r="K19" s="54">
        <v>47000</v>
      </c>
      <c r="L19" s="54">
        <v>47000</v>
      </c>
      <c r="M19" s="54"/>
      <c r="N19" s="127">
        <f t="shared" si="2"/>
        <v>1</v>
      </c>
      <c r="O19" s="82"/>
      <c r="P19" s="82"/>
      <c r="Q19" s="82"/>
      <c r="R19" s="129"/>
      <c r="S19" s="179">
        <f t="shared" si="3"/>
        <v>97750</v>
      </c>
      <c r="T19" s="124"/>
      <c r="U19" s="123" t="s">
        <v>108</v>
      </c>
    </row>
    <row r="20" spans="1:21" ht="40.5">
      <c r="A20" s="43" t="s">
        <v>58</v>
      </c>
      <c r="B20" s="44" t="s">
        <v>61</v>
      </c>
      <c r="C20" s="54">
        <v>90000</v>
      </c>
      <c r="D20" s="54">
        <v>71221.95</v>
      </c>
      <c r="E20" s="54">
        <v>144.99</v>
      </c>
      <c r="F20" s="139">
        <f t="shared" si="1"/>
        <v>0.7929660000000001</v>
      </c>
      <c r="G20" s="152"/>
      <c r="H20" s="153"/>
      <c r="I20" s="153"/>
      <c r="J20" s="147" t="e">
        <f t="shared" si="0"/>
        <v>#DIV/0!</v>
      </c>
      <c r="K20" s="54">
        <v>90000</v>
      </c>
      <c r="L20" s="54">
        <v>89000</v>
      </c>
      <c r="M20" s="54"/>
      <c r="N20" s="127">
        <f t="shared" si="2"/>
        <v>0.9888888888888889</v>
      </c>
      <c r="O20" s="82"/>
      <c r="P20" s="82"/>
      <c r="Q20" s="82"/>
      <c r="R20" s="129"/>
      <c r="S20" s="179">
        <f t="shared" si="3"/>
        <v>180000</v>
      </c>
      <c r="T20" s="124"/>
      <c r="U20" s="123" t="s">
        <v>108</v>
      </c>
    </row>
    <row r="21" spans="1:21" ht="37.5" customHeight="1">
      <c r="A21" s="43" t="s">
        <v>59</v>
      </c>
      <c r="B21" s="44" t="s">
        <v>60</v>
      </c>
      <c r="C21" s="54">
        <v>45000</v>
      </c>
      <c r="D21" s="54">
        <v>14404.22</v>
      </c>
      <c r="E21" s="54">
        <v>333.22</v>
      </c>
      <c r="F21" s="139">
        <f t="shared" si="1"/>
        <v>0.32749866666666666</v>
      </c>
      <c r="G21" s="148">
        <v>34250</v>
      </c>
      <c r="H21" s="193">
        <v>11326</v>
      </c>
      <c r="I21" s="149"/>
      <c r="J21" s="147">
        <f t="shared" si="0"/>
        <v>0.3306861313868613</v>
      </c>
      <c r="K21" s="54">
        <v>48000</v>
      </c>
      <c r="L21" s="54">
        <v>44000</v>
      </c>
      <c r="M21" s="54"/>
      <c r="N21" s="127">
        <f t="shared" si="2"/>
        <v>0.9166666666666666</v>
      </c>
      <c r="O21" s="78">
        <v>65000</v>
      </c>
      <c r="P21" s="78">
        <v>52482.5</v>
      </c>
      <c r="Q21" s="78"/>
      <c r="R21" s="129">
        <f t="shared" si="4"/>
        <v>0.8074230769230769</v>
      </c>
      <c r="S21" s="179">
        <f t="shared" si="3"/>
        <v>192250</v>
      </c>
      <c r="T21" s="124"/>
      <c r="U21" s="123" t="s">
        <v>111</v>
      </c>
    </row>
    <row r="22" spans="1:21" ht="37.5" customHeight="1" thickBot="1">
      <c r="A22" s="48" t="s">
        <v>11</v>
      </c>
      <c r="B22" s="49"/>
      <c r="C22" s="86">
        <f>SUM(C9+C15)</f>
        <v>417536.540523977</v>
      </c>
      <c r="D22" s="86">
        <f>SUM(D9+D15)</f>
        <v>351379.09</v>
      </c>
      <c r="E22" s="86">
        <f>SUM(E9+E15)</f>
        <v>5874.910000000001</v>
      </c>
      <c r="F22" s="111"/>
      <c r="G22" s="157">
        <f>SUM(G9+G15)</f>
        <v>152500</v>
      </c>
      <c r="H22" s="197">
        <f>SUM(H9+H15)</f>
        <v>98213</v>
      </c>
      <c r="I22" s="158">
        <f>SUM(I9+I15)</f>
        <v>0</v>
      </c>
      <c r="J22" s="159">
        <f t="shared" si="0"/>
        <v>0.6440196721311475</v>
      </c>
      <c r="K22" s="86">
        <f>SUM(K9+K15)</f>
        <v>427000</v>
      </c>
      <c r="L22" s="86">
        <f>SUM(L9+L15)</f>
        <v>416744.64</v>
      </c>
      <c r="M22" s="86">
        <f>SUM(M9+M15)</f>
        <v>0</v>
      </c>
      <c r="N22" s="111"/>
      <c r="O22" s="86">
        <f>SUM(O9+O15)</f>
        <v>215740</v>
      </c>
      <c r="P22" s="86">
        <f>SUM(P9+P15)</f>
        <v>206222.5</v>
      </c>
      <c r="Q22" s="86">
        <f>SUM(Q9+Q15)</f>
        <v>0</v>
      </c>
      <c r="R22" s="111"/>
      <c r="S22" s="86">
        <f>SUM(S9+S15)</f>
        <v>1212776.540523977</v>
      </c>
      <c r="T22" s="87"/>
      <c r="U22" s="51"/>
    </row>
    <row r="23" spans="1:21" ht="48.75" customHeight="1" thickBot="1">
      <c r="A23" s="205" t="s">
        <v>74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7"/>
    </row>
    <row r="24" spans="1:21" ht="54">
      <c r="A24" s="46" t="s">
        <v>12</v>
      </c>
      <c r="B24" s="52" t="s">
        <v>75</v>
      </c>
      <c r="C24" s="88">
        <f>SUM(C25:C28)</f>
        <v>17000</v>
      </c>
      <c r="D24" s="88">
        <f>SUM(D25:D28)</f>
        <v>13852.44</v>
      </c>
      <c r="E24" s="88">
        <f>SUM(E25:E28)</f>
        <v>0</v>
      </c>
      <c r="F24" s="140">
        <f>(D24+E24)/C24</f>
        <v>0.8148494117647059</v>
      </c>
      <c r="G24" s="160">
        <f>G25+G26+G27+G28</f>
        <v>72036.54000000001</v>
      </c>
      <c r="H24" s="161">
        <f>H25+H26+H27+H28</f>
        <v>70770</v>
      </c>
      <c r="I24" s="161">
        <f>I25+I26+I27+I28</f>
        <v>0</v>
      </c>
      <c r="J24" s="144">
        <f>(H24+I24)/G24</f>
        <v>0.9824180894862523</v>
      </c>
      <c r="K24" s="88"/>
      <c r="L24" s="88"/>
      <c r="M24" s="88"/>
      <c r="N24" s="128"/>
      <c r="O24" s="89">
        <f>O25+O26+O27+O28</f>
        <v>105000</v>
      </c>
      <c r="P24" s="89">
        <f>P25+P26+P27+P28</f>
        <v>107567.61</v>
      </c>
      <c r="Q24" s="89">
        <f>Q25+Q26+Q27+Q28</f>
        <v>0</v>
      </c>
      <c r="R24" s="130">
        <f>(P24+Q24)/O24</f>
        <v>1.0244534285714286</v>
      </c>
      <c r="S24" s="75">
        <f aca="true" t="shared" si="5" ref="S24:S33">C24+G24+K24+O24</f>
        <v>194036.54</v>
      </c>
      <c r="T24" s="122"/>
      <c r="U24" s="123"/>
    </row>
    <row r="25" spans="1:21" ht="46.5" customHeight="1">
      <c r="A25" s="43" t="s">
        <v>13</v>
      </c>
      <c r="B25" s="44" t="s">
        <v>56</v>
      </c>
      <c r="C25" s="54">
        <v>0</v>
      </c>
      <c r="D25" s="54"/>
      <c r="E25" s="54"/>
      <c r="F25" s="128"/>
      <c r="G25" s="162">
        <v>30000</v>
      </c>
      <c r="H25" s="153">
        <v>30000</v>
      </c>
      <c r="I25" s="153"/>
      <c r="J25" s="163">
        <f aca="true" t="shared" si="6" ref="J25:J40">(H25+I25)/G25</f>
        <v>1</v>
      </c>
      <c r="K25" s="54"/>
      <c r="L25" s="54"/>
      <c r="M25" s="54"/>
      <c r="N25" s="109"/>
      <c r="O25" s="82">
        <v>20000</v>
      </c>
      <c r="P25" s="78">
        <v>20000</v>
      </c>
      <c r="Q25" s="82"/>
      <c r="R25" s="130">
        <f aca="true" t="shared" si="7" ref="R25:R33">(P25+Q25)/O25</f>
        <v>1</v>
      </c>
      <c r="S25" s="179">
        <f t="shared" si="5"/>
        <v>50000</v>
      </c>
      <c r="T25" s="124"/>
      <c r="U25" s="123" t="s">
        <v>83</v>
      </c>
    </row>
    <row r="26" spans="1:21" ht="47.25" customHeight="1">
      <c r="A26" s="43" t="s">
        <v>14</v>
      </c>
      <c r="B26" s="44" t="s">
        <v>55</v>
      </c>
      <c r="C26" s="90">
        <v>0</v>
      </c>
      <c r="D26" s="90"/>
      <c r="E26" s="90"/>
      <c r="F26" s="128"/>
      <c r="G26" s="162">
        <v>32036.54</v>
      </c>
      <c r="H26" s="153">
        <v>32000</v>
      </c>
      <c r="I26" s="153"/>
      <c r="J26" s="163">
        <f t="shared" si="6"/>
        <v>0.9988594273913475</v>
      </c>
      <c r="K26" s="90"/>
      <c r="L26" s="90"/>
      <c r="M26" s="90"/>
      <c r="N26" s="109"/>
      <c r="O26" s="82">
        <v>40000</v>
      </c>
      <c r="P26" s="82">
        <v>42567.61</v>
      </c>
      <c r="Q26" s="82"/>
      <c r="R26" s="130">
        <f t="shared" si="7"/>
        <v>1.06419025</v>
      </c>
      <c r="S26" s="179">
        <f t="shared" si="5"/>
        <v>72036.54000000001</v>
      </c>
      <c r="T26" s="124"/>
      <c r="U26" s="123" t="s">
        <v>84</v>
      </c>
    </row>
    <row r="27" spans="1:21" ht="39.75" customHeight="1">
      <c r="A27" s="43" t="s">
        <v>15</v>
      </c>
      <c r="B27" s="44" t="s">
        <v>54</v>
      </c>
      <c r="C27" s="90">
        <v>0</v>
      </c>
      <c r="D27" s="90"/>
      <c r="E27" s="90"/>
      <c r="F27" s="128"/>
      <c r="G27" s="162">
        <v>10000</v>
      </c>
      <c r="H27" s="153">
        <v>8770</v>
      </c>
      <c r="I27" s="153"/>
      <c r="J27" s="163">
        <f t="shared" si="6"/>
        <v>0.877</v>
      </c>
      <c r="K27" s="90"/>
      <c r="L27" s="90"/>
      <c r="M27" s="90"/>
      <c r="N27" s="109"/>
      <c r="O27" s="82">
        <v>25000</v>
      </c>
      <c r="P27" s="82">
        <v>25000</v>
      </c>
      <c r="Q27" s="82"/>
      <c r="R27" s="130">
        <f t="shared" si="7"/>
        <v>1</v>
      </c>
      <c r="S27" s="179">
        <f t="shared" si="5"/>
        <v>35000</v>
      </c>
      <c r="T27" s="124"/>
      <c r="U27" s="123" t="s">
        <v>85</v>
      </c>
    </row>
    <row r="28" spans="1:21" ht="36.75" customHeight="1">
      <c r="A28" s="43" t="s">
        <v>48</v>
      </c>
      <c r="B28" s="44" t="s">
        <v>77</v>
      </c>
      <c r="C28" s="90">
        <v>17000</v>
      </c>
      <c r="D28" s="90">
        <v>13852.44</v>
      </c>
      <c r="E28" s="90"/>
      <c r="F28" s="109">
        <f>(D28+E28)/C28</f>
        <v>0.8148494117647059</v>
      </c>
      <c r="G28" s="162"/>
      <c r="H28" s="153"/>
      <c r="I28" s="153"/>
      <c r="J28" s="163" t="e">
        <f t="shared" si="6"/>
        <v>#DIV/0!</v>
      </c>
      <c r="K28" s="90"/>
      <c r="L28" s="90"/>
      <c r="M28" s="90"/>
      <c r="N28" s="109"/>
      <c r="O28" s="82">
        <v>20000</v>
      </c>
      <c r="P28" s="82">
        <v>20000</v>
      </c>
      <c r="Q28" s="82"/>
      <c r="R28" s="130">
        <f t="shared" si="7"/>
        <v>1</v>
      </c>
      <c r="S28" s="179">
        <f t="shared" si="5"/>
        <v>37000</v>
      </c>
      <c r="T28" s="124"/>
      <c r="U28" s="123" t="s">
        <v>86</v>
      </c>
    </row>
    <row r="29" spans="1:21" ht="40.5">
      <c r="A29" s="46" t="s">
        <v>16</v>
      </c>
      <c r="B29" s="45" t="s">
        <v>76</v>
      </c>
      <c r="C29" s="88">
        <f>SUM(C30:C33)</f>
        <v>140000</v>
      </c>
      <c r="D29" s="88">
        <f>SUM(D30:D33)</f>
        <v>127757.82999999999</v>
      </c>
      <c r="E29" s="88">
        <f>SUM(E30:E33)</f>
        <v>0</v>
      </c>
      <c r="F29" s="140">
        <f>(D29+E29)/C29</f>
        <v>0.9125559285714285</v>
      </c>
      <c r="G29" s="164">
        <f>SUM(G30:G33)</f>
        <v>350000</v>
      </c>
      <c r="H29" s="165">
        <f>SUM(H30:H33)</f>
        <v>309385</v>
      </c>
      <c r="I29" s="165">
        <f>SUM(I30:I33)</f>
        <v>0</v>
      </c>
      <c r="J29" s="166">
        <f t="shared" si="6"/>
        <v>0.8839571428571429</v>
      </c>
      <c r="K29" s="88">
        <f>SUM(K30:K33)</f>
        <v>123062.45</v>
      </c>
      <c r="L29" s="88">
        <f>SUM(L30:L33)</f>
        <v>119062.45</v>
      </c>
      <c r="M29" s="88">
        <f>SUM(M30:M33)</f>
        <v>2034.43</v>
      </c>
      <c r="N29" s="128">
        <f>(L29+M29)/K29</f>
        <v>0.9840278655268118</v>
      </c>
      <c r="O29" s="89">
        <f>SUM(O30:O33)</f>
        <v>280000</v>
      </c>
      <c r="P29" s="89">
        <f>SUM(P30:P33)</f>
        <v>296671</v>
      </c>
      <c r="Q29" s="89">
        <f>SUM(Q30:Q33)</f>
        <v>0</v>
      </c>
      <c r="R29" s="130">
        <f t="shared" si="7"/>
        <v>1.0595392857142858</v>
      </c>
      <c r="S29" s="85">
        <f>SUM(S30:S33)</f>
        <v>893062.45</v>
      </c>
      <c r="T29" s="124"/>
      <c r="U29" s="123"/>
    </row>
    <row r="30" spans="1:21" ht="36.75" customHeight="1">
      <c r="A30" s="43" t="s">
        <v>17</v>
      </c>
      <c r="B30" s="44" t="s">
        <v>53</v>
      </c>
      <c r="C30" s="90">
        <v>100000</v>
      </c>
      <c r="D30" s="90">
        <v>80748.48</v>
      </c>
      <c r="E30" s="90"/>
      <c r="F30" s="109">
        <f>(D30+E30)/C30</f>
        <v>0.8074848</v>
      </c>
      <c r="G30" s="162">
        <v>105000</v>
      </c>
      <c r="H30" s="153">
        <v>108775</v>
      </c>
      <c r="I30" s="153"/>
      <c r="J30" s="163">
        <f t="shared" si="6"/>
        <v>1.035952380952381</v>
      </c>
      <c r="K30" s="90">
        <v>123062.45</v>
      </c>
      <c r="L30" s="90">
        <v>119062.45</v>
      </c>
      <c r="M30" s="90">
        <v>2034.43</v>
      </c>
      <c r="N30" s="128">
        <f>(L30+M30)/K30</f>
        <v>0.9840278655268118</v>
      </c>
      <c r="O30" s="82">
        <v>75000</v>
      </c>
      <c r="P30" s="82">
        <v>84000</v>
      </c>
      <c r="Q30" s="82"/>
      <c r="R30" s="130">
        <f t="shared" si="7"/>
        <v>1.12</v>
      </c>
      <c r="S30" s="179">
        <f t="shared" si="5"/>
        <v>403062.45</v>
      </c>
      <c r="T30" s="124"/>
      <c r="U30" s="123" t="s">
        <v>112</v>
      </c>
    </row>
    <row r="31" spans="1:21" ht="40.5">
      <c r="A31" s="43" t="s">
        <v>18</v>
      </c>
      <c r="B31" s="53" t="s">
        <v>78</v>
      </c>
      <c r="C31" s="90">
        <v>0</v>
      </c>
      <c r="D31" s="90"/>
      <c r="E31" s="90"/>
      <c r="F31" s="109"/>
      <c r="G31" s="162">
        <v>30000</v>
      </c>
      <c r="H31" s="153">
        <v>60100</v>
      </c>
      <c r="I31" s="153"/>
      <c r="J31" s="163">
        <f t="shared" si="6"/>
        <v>2.0033333333333334</v>
      </c>
      <c r="K31" s="90"/>
      <c r="L31" s="90"/>
      <c r="M31" s="90"/>
      <c r="N31" s="109"/>
      <c r="O31" s="82">
        <v>20000</v>
      </c>
      <c r="P31" s="82">
        <v>20000</v>
      </c>
      <c r="Q31" s="82"/>
      <c r="R31" s="130">
        <f t="shared" si="7"/>
        <v>1</v>
      </c>
      <c r="S31" s="179">
        <f t="shared" si="5"/>
        <v>50000</v>
      </c>
      <c r="T31" s="124"/>
      <c r="U31" s="123"/>
    </row>
    <row r="32" spans="1:21" ht="58.5" customHeight="1">
      <c r="A32" s="43" t="s">
        <v>19</v>
      </c>
      <c r="B32" s="45" t="s">
        <v>52</v>
      </c>
      <c r="C32" s="54">
        <v>40000</v>
      </c>
      <c r="D32" s="54">
        <v>47009.35</v>
      </c>
      <c r="E32" s="54"/>
      <c r="F32" s="109">
        <f>(D32+E32)/C32</f>
        <v>1.1752337499999999</v>
      </c>
      <c r="G32" s="162">
        <v>60000</v>
      </c>
      <c r="H32" s="153">
        <v>35616</v>
      </c>
      <c r="I32" s="153"/>
      <c r="J32" s="163">
        <f t="shared" si="6"/>
        <v>0.5936</v>
      </c>
      <c r="K32" s="54"/>
      <c r="L32" s="54"/>
      <c r="M32" s="54"/>
      <c r="N32" s="109"/>
      <c r="O32" s="82">
        <v>80000</v>
      </c>
      <c r="P32" s="82">
        <v>78671</v>
      </c>
      <c r="Q32" s="82"/>
      <c r="R32" s="130">
        <f t="shared" si="7"/>
        <v>0.9833875</v>
      </c>
      <c r="S32" s="179">
        <f t="shared" si="5"/>
        <v>180000</v>
      </c>
      <c r="T32" s="124"/>
      <c r="U32" s="123" t="s">
        <v>87</v>
      </c>
    </row>
    <row r="33" spans="1:21" ht="45.75" customHeight="1">
      <c r="A33" s="43" t="s">
        <v>80</v>
      </c>
      <c r="B33" s="55" t="s">
        <v>51</v>
      </c>
      <c r="C33" s="141">
        <v>0</v>
      </c>
      <c r="D33" s="91"/>
      <c r="E33" s="91"/>
      <c r="F33" s="110"/>
      <c r="G33" s="162">
        <v>155000</v>
      </c>
      <c r="H33" s="153">
        <v>104894</v>
      </c>
      <c r="I33" s="153"/>
      <c r="J33" s="163">
        <f t="shared" si="6"/>
        <v>0.6767354838709677</v>
      </c>
      <c r="K33" s="91"/>
      <c r="L33" s="91"/>
      <c r="M33" s="91"/>
      <c r="N33" s="110"/>
      <c r="O33" s="82">
        <v>105000</v>
      </c>
      <c r="P33" s="82">
        <v>114000</v>
      </c>
      <c r="Q33" s="82"/>
      <c r="R33" s="130">
        <f t="shared" si="7"/>
        <v>1.0857142857142856</v>
      </c>
      <c r="S33" s="179">
        <f t="shared" si="5"/>
        <v>260000</v>
      </c>
      <c r="T33" s="124"/>
      <c r="U33" s="123" t="s">
        <v>88</v>
      </c>
    </row>
    <row r="34" spans="1:21" ht="55.5" customHeight="1">
      <c r="A34" s="48" t="s">
        <v>20</v>
      </c>
      <c r="B34" s="49"/>
      <c r="C34" s="86">
        <f>C29+C24</f>
        <v>157000</v>
      </c>
      <c r="D34" s="86">
        <f>D29+D24</f>
        <v>141610.27</v>
      </c>
      <c r="E34" s="86">
        <f>E29+E24</f>
        <v>0</v>
      </c>
      <c r="F34" s="111"/>
      <c r="G34" s="167">
        <f>G29+G24</f>
        <v>422036.54000000004</v>
      </c>
      <c r="H34" s="86">
        <f>H29+H24</f>
        <v>380155</v>
      </c>
      <c r="I34" s="86">
        <f>I29+I24</f>
        <v>0</v>
      </c>
      <c r="J34" s="168">
        <f t="shared" si="6"/>
        <v>0.9007632372305961</v>
      </c>
      <c r="K34" s="86">
        <f>K29+K24</f>
        <v>123062.45</v>
      </c>
      <c r="L34" s="86">
        <f>L29+L24</f>
        <v>119062.45</v>
      </c>
      <c r="M34" s="86">
        <f>M29+M24</f>
        <v>2034.43</v>
      </c>
      <c r="N34" s="111"/>
      <c r="O34" s="86">
        <f>O29+O24</f>
        <v>385000</v>
      </c>
      <c r="P34" s="86">
        <f>P29+P24</f>
        <v>404238.61</v>
      </c>
      <c r="Q34" s="86">
        <f>Q29+Q24</f>
        <v>0</v>
      </c>
      <c r="R34" s="111"/>
      <c r="S34" s="86">
        <f>S29+S24</f>
        <v>1087098.99</v>
      </c>
      <c r="T34" s="87"/>
      <c r="U34" s="56"/>
    </row>
    <row r="35" spans="1:21" ht="37.5" customHeight="1">
      <c r="A35" s="48" t="s">
        <v>91</v>
      </c>
      <c r="B35" s="50"/>
      <c r="C35" s="92">
        <f>C34+C22</f>
        <v>574536.540523977</v>
      </c>
      <c r="D35" s="92">
        <f>D34+D22</f>
        <v>492989.36</v>
      </c>
      <c r="E35" s="92">
        <f>E34+E22</f>
        <v>5874.910000000001</v>
      </c>
      <c r="F35" s="111"/>
      <c r="G35" s="169">
        <f>G34+G22</f>
        <v>574536.54</v>
      </c>
      <c r="H35" s="92">
        <f>H34+H22</f>
        <v>478368</v>
      </c>
      <c r="I35" s="92">
        <f>I34+I22</f>
        <v>0</v>
      </c>
      <c r="J35" s="170">
        <f t="shared" si="6"/>
        <v>0.8326154503593453</v>
      </c>
      <c r="K35" s="92">
        <f>K34+K22</f>
        <v>550062.45</v>
      </c>
      <c r="L35" s="92">
        <f>L34+L22</f>
        <v>535807.09</v>
      </c>
      <c r="M35" s="92">
        <f>M34+M22</f>
        <v>2034.43</v>
      </c>
      <c r="N35" s="111"/>
      <c r="O35" s="92">
        <f>O34+O22</f>
        <v>600740</v>
      </c>
      <c r="P35" s="92">
        <f>P34+P22</f>
        <v>610461.11</v>
      </c>
      <c r="Q35" s="92">
        <f>Q34+Q22</f>
        <v>0</v>
      </c>
      <c r="R35" s="111"/>
      <c r="S35" s="92">
        <f>S34+S22</f>
        <v>2299875.5305239772</v>
      </c>
      <c r="T35" s="87"/>
      <c r="U35" s="56"/>
    </row>
    <row r="36" spans="1:21" ht="51.75" customHeight="1">
      <c r="A36" s="57" t="s">
        <v>41</v>
      </c>
      <c r="B36" s="58"/>
      <c r="C36" s="93">
        <v>103416.576</v>
      </c>
      <c r="D36" s="93">
        <v>90982.31</v>
      </c>
      <c r="E36" s="93"/>
      <c r="F36" s="112">
        <f>(D36+E36)/C36</f>
        <v>0.879765251558899</v>
      </c>
      <c r="G36" s="171">
        <v>68944.38</v>
      </c>
      <c r="H36" s="172">
        <v>63146.41</v>
      </c>
      <c r="I36" s="172"/>
      <c r="J36" s="173">
        <f>(H36+I36)/G36</f>
        <v>0.9159036603128493</v>
      </c>
      <c r="K36" s="93">
        <v>86180.48</v>
      </c>
      <c r="L36" s="93">
        <v>90060.6</v>
      </c>
      <c r="M36" s="93"/>
      <c r="N36" s="112">
        <f>(L36+M36)/K36</f>
        <v>1.0450231885457126</v>
      </c>
      <c r="O36" s="94">
        <v>86180.48</v>
      </c>
      <c r="P36" s="94">
        <v>77771.71</v>
      </c>
      <c r="Q36" s="94"/>
      <c r="R36" s="126">
        <f>(P36+Q36)/O36</f>
        <v>0.902428368929948</v>
      </c>
      <c r="S36" s="179">
        <f>C36+G36+K36+O36</f>
        <v>344721.91599999997</v>
      </c>
      <c r="T36" s="120"/>
      <c r="U36" s="121"/>
    </row>
    <row r="37" spans="1:21" ht="50.25" customHeight="1">
      <c r="A37" s="57" t="s">
        <v>42</v>
      </c>
      <c r="B37" s="58"/>
      <c r="C37" s="95"/>
      <c r="D37" s="95"/>
      <c r="E37" s="95"/>
      <c r="F37" s="112"/>
      <c r="G37" s="174"/>
      <c r="H37" s="172">
        <v>93659.39</v>
      </c>
      <c r="I37" s="175"/>
      <c r="J37" s="173" t="e">
        <f t="shared" si="6"/>
        <v>#DIV/0!</v>
      </c>
      <c r="K37" s="95"/>
      <c r="L37" s="95"/>
      <c r="M37" s="95"/>
      <c r="N37" s="112"/>
      <c r="O37" s="96"/>
      <c r="P37" s="96"/>
      <c r="Q37" s="96"/>
      <c r="R37" s="126"/>
      <c r="S37" s="179">
        <f>C37+G37+K37+O37</f>
        <v>0</v>
      </c>
      <c r="T37" s="120"/>
      <c r="U37" s="121"/>
    </row>
    <row r="38" spans="1:21" ht="42.75" customHeight="1">
      <c r="A38" s="57" t="s">
        <v>43</v>
      </c>
      <c r="B38" s="59" t="s">
        <v>21</v>
      </c>
      <c r="C38" s="95">
        <v>48261.072</v>
      </c>
      <c r="D38" s="93">
        <v>8235.19</v>
      </c>
      <c r="E38" s="93">
        <v>17500</v>
      </c>
      <c r="F38" s="112">
        <f>(D38+E38)/C38</f>
        <v>0.533249447919433</v>
      </c>
      <c r="G38" s="171">
        <v>32174.05</v>
      </c>
      <c r="H38" s="172">
        <v>27685.61</v>
      </c>
      <c r="I38" s="172"/>
      <c r="J38" s="173">
        <f t="shared" si="6"/>
        <v>0.860495026271172</v>
      </c>
      <c r="K38" s="93">
        <v>36654.27</v>
      </c>
      <c r="L38" s="93">
        <v>10905</v>
      </c>
      <c r="M38" s="93"/>
      <c r="N38" s="112">
        <f>(L38+M38)/K38</f>
        <v>0.2975096762259895</v>
      </c>
      <c r="O38" s="94">
        <v>42051.48</v>
      </c>
      <c r="P38" s="94">
        <v>40639.81</v>
      </c>
      <c r="Q38" s="94"/>
      <c r="R38" s="126">
        <f>(P38+Q38)/O38</f>
        <v>0.9664299568053252</v>
      </c>
      <c r="S38" s="179">
        <f>C38+G38+K38+O38</f>
        <v>159140.872</v>
      </c>
      <c r="T38" s="118"/>
      <c r="U38" s="119"/>
    </row>
    <row r="39" spans="1:21" ht="34.5" customHeight="1">
      <c r="A39" s="60" t="s">
        <v>22</v>
      </c>
      <c r="B39" s="61"/>
      <c r="C39" s="97">
        <f>C35+C36+C37+C38</f>
        <v>726214.1885239771</v>
      </c>
      <c r="D39" s="97">
        <f>D35+D36+D37+D38</f>
        <v>592206.8599999999</v>
      </c>
      <c r="E39" s="97">
        <f>E35+E36+E37+E38</f>
        <v>23374.91</v>
      </c>
      <c r="F39" s="177">
        <f>(D39+E39)/C39</f>
        <v>0.8476586931620871</v>
      </c>
      <c r="G39" s="176">
        <f>G35+G36+G37+G38</f>
        <v>675654.9700000001</v>
      </c>
      <c r="H39" s="97">
        <f>H35+H36+H37+H38</f>
        <v>662859.41</v>
      </c>
      <c r="I39" s="97">
        <f>I35+I36+I37+I38</f>
        <v>0</v>
      </c>
      <c r="J39" s="177">
        <f t="shared" si="6"/>
        <v>0.9810619908560725</v>
      </c>
      <c r="K39" s="97">
        <f>K35+K36+K38</f>
        <v>672897.2</v>
      </c>
      <c r="L39" s="97">
        <f>L35+L36+L38</f>
        <v>636772.69</v>
      </c>
      <c r="M39" s="97">
        <f>M35+M36+M38</f>
        <v>2034.43</v>
      </c>
      <c r="N39" s="177">
        <f>(L39+M39)/K39</f>
        <v>0.949338353614787</v>
      </c>
      <c r="O39" s="97">
        <f>O35+O36+O37+O38</f>
        <v>728971.96</v>
      </c>
      <c r="P39" s="97">
        <f>P35+P36+P37+P38</f>
        <v>728872.6299999999</v>
      </c>
      <c r="Q39" s="97">
        <f>Q35+Q36+Q37+Q38</f>
        <v>0</v>
      </c>
      <c r="R39" s="177">
        <f>(P39+Q39)/O39</f>
        <v>0.9998637396148954</v>
      </c>
      <c r="S39" s="97">
        <f>S35+S36+S37+S38</f>
        <v>2803738.3185239774</v>
      </c>
      <c r="T39" s="98"/>
      <c r="U39" s="62"/>
    </row>
    <row r="40" spans="1:21" ht="33" customHeight="1">
      <c r="A40" s="57" t="s">
        <v>23</v>
      </c>
      <c r="B40" s="59"/>
      <c r="C40" s="93">
        <f>C39*0.07</f>
        <v>50834.9931966784</v>
      </c>
      <c r="D40" s="93">
        <v>41450.25</v>
      </c>
      <c r="E40" s="93"/>
      <c r="F40" s="112">
        <f>(D40+E40)/C40</f>
        <v>0.815388129189489</v>
      </c>
      <c r="G40" s="171">
        <v>47295.85</v>
      </c>
      <c r="H40" s="172">
        <f>H39*0.07</f>
        <v>46400.15870000001</v>
      </c>
      <c r="I40" s="172"/>
      <c r="J40" s="173">
        <f t="shared" si="6"/>
        <v>0.9810619472955874</v>
      </c>
      <c r="K40" s="93">
        <v>47102.804000000004</v>
      </c>
      <c r="L40" s="93">
        <v>44574.0883</v>
      </c>
      <c r="M40" s="93">
        <v>142.41010000000003</v>
      </c>
      <c r="N40" s="112">
        <f>(L40+M40)/K40</f>
        <v>0.9493383536147869</v>
      </c>
      <c r="O40" s="94">
        <v>51028.0372</v>
      </c>
      <c r="P40" s="94">
        <v>51127.37</v>
      </c>
      <c r="Q40" s="94">
        <v>0</v>
      </c>
      <c r="R40" s="126">
        <f>(P40/O40)*100%</f>
        <v>1.0019466318018597</v>
      </c>
      <c r="S40" s="179">
        <f>C40+G40+K40+O40</f>
        <v>196261.68439667838</v>
      </c>
      <c r="T40" s="118"/>
      <c r="U40" s="119"/>
    </row>
    <row r="41" spans="1:21" ht="34.5" customHeight="1" thickBot="1">
      <c r="A41" s="63" t="s">
        <v>24</v>
      </c>
      <c r="B41" s="64"/>
      <c r="C41" s="99">
        <f>C39+C40</f>
        <v>777049.1817206554</v>
      </c>
      <c r="D41" s="99">
        <f>D39+D40</f>
        <v>633657.1099999999</v>
      </c>
      <c r="E41" s="99">
        <f>E39+E40</f>
        <v>23374.91</v>
      </c>
      <c r="F41" s="200">
        <f>(D41+E41)/C41</f>
        <v>0.8455475347713564</v>
      </c>
      <c r="G41" s="178">
        <f>+G39+G40</f>
        <v>722950.8200000001</v>
      </c>
      <c r="H41" s="178">
        <f>+H39+H40</f>
        <v>709259.5687000001</v>
      </c>
      <c r="I41" s="178">
        <f>+I39+I40</f>
        <v>0</v>
      </c>
      <c r="J41" s="200">
        <f>(H41+I41)/G41</f>
        <v>0.981061988006321</v>
      </c>
      <c r="K41" s="99">
        <f>K35+K40+K38+K36</f>
        <v>720000.004</v>
      </c>
      <c r="L41" s="99">
        <f>L35+L40+L38+L36</f>
        <v>681346.7783</v>
      </c>
      <c r="M41" s="99">
        <f>M35+M40+M38+M36</f>
        <v>2176.8401</v>
      </c>
      <c r="N41" s="113">
        <f>(L41+M41)/K41</f>
        <v>0.949338353614787</v>
      </c>
      <c r="O41" s="99">
        <f>O39+O40</f>
        <v>779999.9972</v>
      </c>
      <c r="P41" s="99">
        <f>P39+P40</f>
        <v>779999.9999999999</v>
      </c>
      <c r="Q41" s="99"/>
      <c r="R41" s="113">
        <f>(P41+Q41)/O41</f>
        <v>1.0000000035897434</v>
      </c>
      <c r="S41" s="99">
        <f>S35+S36+S37+S38+S40</f>
        <v>3000000.002920656</v>
      </c>
      <c r="T41" s="100"/>
      <c r="U41" s="65"/>
    </row>
    <row r="43" spans="3:13" ht="14.25">
      <c r="C43" s="101"/>
      <c r="D43" s="101"/>
      <c r="E43" s="101"/>
      <c r="H43" s="194"/>
      <c r="K43" s="101"/>
      <c r="L43" s="101"/>
      <c r="M43" s="101"/>
    </row>
  </sheetData>
  <sheetProtection/>
  <mergeCells count="2">
    <mergeCell ref="A8:U8"/>
    <mergeCell ref="A23:U23"/>
  </mergeCells>
  <printOptions/>
  <pageMargins left="0.7" right="0.7" top="0.75" bottom="0.75" header="0.3" footer="0.3"/>
  <pageSetup fitToHeight="0" fitToWidth="1" horizontalDpi="600" verticalDpi="600" orientation="landscape" scale="29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tabSelected="1" zoomScale="82" zoomScaleNormal="82" zoomScalePageLayoutView="0" workbookViewId="0" topLeftCell="A7">
      <pane xSplit="1" topLeftCell="Q1" activePane="topRight" state="frozen"/>
      <selection pane="topLeft" activeCell="A4" sqref="A4"/>
      <selection pane="topRight" activeCell="AB16" sqref="AB16"/>
    </sheetView>
  </sheetViews>
  <sheetFormatPr defaultColWidth="10.57421875" defaultRowHeight="15"/>
  <cols>
    <col min="1" max="1" width="22.57421875" style="4" customWidth="1"/>
    <col min="2" max="6" width="12.421875" style="4" customWidth="1"/>
    <col min="7" max="7" width="7.57421875" style="4" customWidth="1"/>
    <col min="8" max="8" width="12.421875" style="4" customWidth="1"/>
    <col min="9" max="9" width="13.00390625" style="4" customWidth="1"/>
    <col min="10" max="10" width="12.57421875" style="4" customWidth="1"/>
    <col min="11" max="11" width="13.00390625" style="4" customWidth="1"/>
    <col min="12" max="12" width="11.421875" style="4" customWidth="1"/>
    <col min="13" max="13" width="6.57421875" style="5" customWidth="1"/>
    <col min="14" max="14" width="12.57421875" style="4" customWidth="1"/>
    <col min="15" max="17" width="11.57421875" style="4" customWidth="1"/>
    <col min="18" max="18" width="10.57421875" style="4" customWidth="1"/>
    <col min="19" max="19" width="8.57421875" style="5" customWidth="1"/>
    <col min="20" max="20" width="12.421875" style="4" customWidth="1"/>
    <col min="21" max="21" width="13.00390625" style="4" customWidth="1"/>
    <col min="22" max="22" width="12.57421875" style="4" customWidth="1"/>
    <col min="23" max="23" width="13.00390625" style="4" customWidth="1"/>
    <col min="24" max="24" width="11.421875" style="4" customWidth="1"/>
    <col min="25" max="25" width="6.57421875" style="5" customWidth="1"/>
    <col min="26" max="26" width="14.00390625" style="4" customWidth="1"/>
    <col min="27" max="27" width="13.421875" style="4" customWidth="1"/>
    <col min="28" max="28" width="14.00390625" style="6" customWidth="1"/>
    <col min="29" max="29" width="12.00390625" style="4" customWidth="1"/>
    <col min="30" max="30" width="12.57421875" style="4" bestFit="1" customWidth="1"/>
    <col min="31" max="31" width="7.421875" style="5" customWidth="1"/>
  </cols>
  <sheetData>
    <row r="1" spans="1:7" ht="14.25">
      <c r="A1" s="3" t="s">
        <v>44</v>
      </c>
      <c r="B1" s="3"/>
      <c r="C1" s="3"/>
      <c r="D1" s="3"/>
      <c r="E1" s="3"/>
      <c r="F1" s="3"/>
      <c r="G1" s="3"/>
    </row>
    <row r="2" spans="1:7" ht="14.25">
      <c r="A2" s="3"/>
      <c r="B2" s="3"/>
      <c r="C2" s="3"/>
      <c r="D2" s="3"/>
      <c r="E2" s="3"/>
      <c r="F2" s="3"/>
      <c r="G2" s="3"/>
    </row>
    <row r="3" spans="1:7" ht="14.25">
      <c r="A3" s="3" t="s">
        <v>40</v>
      </c>
      <c r="B3" s="3"/>
      <c r="C3" s="3"/>
      <c r="D3" s="3"/>
      <c r="E3" s="3"/>
      <c r="F3" s="3"/>
      <c r="G3" s="3"/>
    </row>
    <row r="4" ht="15" thickBot="1"/>
    <row r="5" spans="1:31" ht="25.5" customHeight="1" thickBot="1">
      <c r="A5" s="208" t="s">
        <v>26</v>
      </c>
      <c r="B5" s="214" t="s">
        <v>113</v>
      </c>
      <c r="C5" s="215"/>
      <c r="D5" s="215"/>
      <c r="E5" s="215"/>
      <c r="F5" s="215"/>
      <c r="G5" s="216"/>
      <c r="H5" s="217" t="s">
        <v>115</v>
      </c>
      <c r="I5" s="218"/>
      <c r="J5" s="218"/>
      <c r="K5" s="218"/>
      <c r="L5" s="218"/>
      <c r="M5" s="219"/>
      <c r="N5" s="214" t="s">
        <v>49</v>
      </c>
      <c r="O5" s="215"/>
      <c r="P5" s="215"/>
      <c r="Q5" s="215"/>
      <c r="R5" s="215"/>
      <c r="S5" s="216"/>
      <c r="T5" s="217" t="s">
        <v>50</v>
      </c>
      <c r="U5" s="218"/>
      <c r="V5" s="218"/>
      <c r="W5" s="218"/>
      <c r="X5" s="218"/>
      <c r="Y5" s="219"/>
      <c r="Z5" s="210" t="s">
        <v>89</v>
      </c>
      <c r="AA5" s="212" t="s">
        <v>90</v>
      </c>
      <c r="AB5" s="226" t="s">
        <v>39</v>
      </c>
      <c r="AC5" s="220" t="s">
        <v>98</v>
      </c>
      <c r="AD5" s="222" t="s">
        <v>99</v>
      </c>
      <c r="AE5" s="224" t="s">
        <v>100</v>
      </c>
    </row>
    <row r="6" spans="1:31" ht="27.75" thickBot="1">
      <c r="A6" s="209"/>
      <c r="B6" s="24" t="s">
        <v>28</v>
      </c>
      <c r="C6" s="12" t="s">
        <v>29</v>
      </c>
      <c r="D6" s="12" t="s">
        <v>94</v>
      </c>
      <c r="E6" s="12" t="s">
        <v>95</v>
      </c>
      <c r="F6" s="12" t="s">
        <v>96</v>
      </c>
      <c r="G6" s="25" t="s">
        <v>97</v>
      </c>
      <c r="H6" s="24" t="s">
        <v>28</v>
      </c>
      <c r="I6" s="12" t="s">
        <v>29</v>
      </c>
      <c r="J6" s="12" t="s">
        <v>94</v>
      </c>
      <c r="K6" s="12" t="s">
        <v>95</v>
      </c>
      <c r="L6" s="12" t="s">
        <v>96</v>
      </c>
      <c r="M6" s="25" t="s">
        <v>97</v>
      </c>
      <c r="N6" s="24" t="s">
        <v>28</v>
      </c>
      <c r="O6" s="12" t="s">
        <v>29</v>
      </c>
      <c r="P6" s="12" t="s">
        <v>94</v>
      </c>
      <c r="Q6" s="12" t="s">
        <v>95</v>
      </c>
      <c r="R6" s="12" t="s">
        <v>96</v>
      </c>
      <c r="S6" s="25" t="s">
        <v>97</v>
      </c>
      <c r="T6" s="24" t="s">
        <v>28</v>
      </c>
      <c r="U6" s="12" t="s">
        <v>29</v>
      </c>
      <c r="V6" s="12" t="s">
        <v>94</v>
      </c>
      <c r="W6" s="12" t="s">
        <v>95</v>
      </c>
      <c r="X6" s="12" t="s">
        <v>96</v>
      </c>
      <c r="Y6" s="25" t="s">
        <v>97</v>
      </c>
      <c r="Z6" s="211"/>
      <c r="AA6" s="213"/>
      <c r="AB6" s="227"/>
      <c r="AC6" s="221"/>
      <c r="AD6" s="223"/>
      <c r="AE6" s="225"/>
    </row>
    <row r="7" spans="1:31" ht="15" thickBot="1">
      <c r="A7" s="34" t="s">
        <v>30</v>
      </c>
      <c r="B7" s="131">
        <f>(103416)*70%</f>
        <v>72391.2</v>
      </c>
      <c r="C7" s="131">
        <f>(103416)*30%</f>
        <v>31024.8</v>
      </c>
      <c r="D7" s="132">
        <f>B7+C7</f>
        <v>103416</v>
      </c>
      <c r="E7" s="132">
        <v>90982.31</v>
      </c>
      <c r="F7" s="132">
        <v>0</v>
      </c>
      <c r="G7" s="188">
        <f>(E7+F7)/(B7+C7)</f>
        <v>0.879770151620639</v>
      </c>
      <c r="H7" s="26">
        <v>48261.07</v>
      </c>
      <c r="I7" s="26">
        <f>(H7*30%)/70%</f>
        <v>20683.315714285716</v>
      </c>
      <c r="J7" s="16">
        <f>H7+I7</f>
        <v>68944.38571428572</v>
      </c>
      <c r="K7" s="16">
        <v>44353.77</v>
      </c>
      <c r="L7" s="16"/>
      <c r="M7" s="27">
        <f aca="true" t="shared" si="0" ref="M7:M16">(K7+L7)/(H7+I7)</f>
        <v>0.6433267849220914</v>
      </c>
      <c r="N7" s="31">
        <f>Activity!K36*0.7</f>
        <v>60326.335999999996</v>
      </c>
      <c r="O7" s="15">
        <f>Activity!K36*0.3</f>
        <v>25854.143999999997</v>
      </c>
      <c r="P7" s="15">
        <f>N7+O7</f>
        <v>86180.48</v>
      </c>
      <c r="Q7" s="15">
        <v>90060.6</v>
      </c>
      <c r="R7" s="15"/>
      <c r="S7" s="188">
        <f>(Q7+R7)/(N7+O7)</f>
        <v>1.0450231885457126</v>
      </c>
      <c r="T7" s="26">
        <f>Activity!O36*0.7</f>
        <v>60326.335999999996</v>
      </c>
      <c r="U7" s="16">
        <f>Activity!O36*0.3</f>
        <v>25854.143999999997</v>
      </c>
      <c r="V7" s="16">
        <v>86180.48</v>
      </c>
      <c r="W7" s="16">
        <v>77771.71</v>
      </c>
      <c r="X7" s="16"/>
      <c r="Y7" s="27">
        <f>(W7+X7)/(T7+U7)</f>
        <v>0.902428368929948</v>
      </c>
      <c r="Z7" s="181">
        <f aca="true" t="shared" si="1" ref="Z7:Z15">B7+H7+T7+N7</f>
        <v>241304.94199999998</v>
      </c>
      <c r="AA7" s="182">
        <f aca="true" t="shared" si="2" ref="AA7:AA15">C7+I7+O7+U7</f>
        <v>103416.40371428571</v>
      </c>
      <c r="AB7" s="183">
        <f>Z7+AA7</f>
        <v>344721.3457142857</v>
      </c>
      <c r="AC7" s="184">
        <f aca="true" t="shared" si="3" ref="AC7:AD9">E7+K7+Q7+W7</f>
        <v>303168.39</v>
      </c>
      <c r="AD7" s="185">
        <f t="shared" si="3"/>
        <v>0</v>
      </c>
      <c r="AE7" s="186">
        <f>(AC7+AD7)/(Z7+AA7)</f>
        <v>0.8794592901458274</v>
      </c>
    </row>
    <row r="8" spans="1:31" ht="27.75" thickBot="1">
      <c r="A8" s="35" t="s">
        <v>31</v>
      </c>
      <c r="B8" s="131">
        <f>(108726.83)*70%</f>
        <v>76108.781</v>
      </c>
      <c r="C8" s="131">
        <f>(108726.83)*30%</f>
        <v>32618.049</v>
      </c>
      <c r="D8" s="134">
        <f aca="true" t="shared" si="4" ref="D8:D13">B8+C8</f>
        <v>108726.83</v>
      </c>
      <c r="E8" s="134">
        <v>111397.75</v>
      </c>
      <c r="F8" s="134">
        <v>251.85</v>
      </c>
      <c r="G8" s="188">
        <f aca="true" t="shared" si="5" ref="G8:G15">(E8+F8)/(B8+C8)</f>
        <v>1.0268817733396625</v>
      </c>
      <c r="H8" s="28">
        <v>24130.53</v>
      </c>
      <c r="I8" s="26">
        <f aca="true" t="shared" si="6" ref="I8:I15">(H8*30%)/70%</f>
        <v>10341.655714285715</v>
      </c>
      <c r="J8" s="14">
        <f aca="true" t="shared" si="7" ref="J8:J15">H8+I8</f>
        <v>34472.18571428571</v>
      </c>
      <c r="K8" s="14">
        <v>16479.17</v>
      </c>
      <c r="L8" s="14"/>
      <c r="M8" s="27">
        <f t="shared" si="0"/>
        <v>0.4780425046611077</v>
      </c>
      <c r="N8" s="32">
        <f>Activity!K35*0.7*0.059</f>
        <v>22717.579185</v>
      </c>
      <c r="O8" s="13">
        <f>Activity!K35*0.3*0.059</f>
        <v>9736.105365</v>
      </c>
      <c r="P8" s="13">
        <f aca="true" t="shared" si="8" ref="P8:P13">N8+O8</f>
        <v>32453.684549999998</v>
      </c>
      <c r="Q8" s="13">
        <v>18036.72</v>
      </c>
      <c r="R8" s="13"/>
      <c r="S8" s="188">
        <f aca="true" t="shared" si="9" ref="S8:S15">(Q8+R8)/(N8+O8)</f>
        <v>0.5557680198749575</v>
      </c>
      <c r="T8" s="28">
        <f>Activity!O35*0.7*0.02</f>
        <v>8410.36</v>
      </c>
      <c r="U8" s="14">
        <f>Activity!O35*0.02*0.3</f>
        <v>3604.44</v>
      </c>
      <c r="V8" s="14">
        <v>12014.800000000001</v>
      </c>
      <c r="W8" s="14">
        <v>13565.89</v>
      </c>
      <c r="X8" s="14"/>
      <c r="Y8" s="27">
        <f aca="true" t="shared" si="10" ref="Y8:Y15">(W8+X8)/(T8+U8)</f>
        <v>1.1290982787894928</v>
      </c>
      <c r="Z8" s="181">
        <f t="shared" si="1"/>
        <v>131367.250185</v>
      </c>
      <c r="AA8" s="182">
        <f t="shared" si="2"/>
        <v>56300.25007928572</v>
      </c>
      <c r="AB8" s="187">
        <f aca="true" t="shared" si="11" ref="AB8:AB16">Z8+AA8</f>
        <v>187667.5002642857</v>
      </c>
      <c r="AC8" s="184">
        <f t="shared" si="3"/>
        <v>159479.53000000003</v>
      </c>
      <c r="AD8" s="185">
        <f t="shared" si="3"/>
        <v>251.85</v>
      </c>
      <c r="AE8" s="186">
        <f aca="true" t="shared" si="12" ref="AE8:AE15">(AC8+AD8)/(Z8+AA8)</f>
        <v>0.8511403400964781</v>
      </c>
    </row>
    <row r="9" spans="1:31" ht="41.25" thickBot="1">
      <c r="A9" s="35" t="s">
        <v>32</v>
      </c>
      <c r="B9" s="131">
        <f>(40217.56)*70%</f>
        <v>28152.291999999998</v>
      </c>
      <c r="C9" s="131">
        <f>(40217.56)*30%</f>
        <v>12065.267999999998</v>
      </c>
      <c r="D9" s="134">
        <f t="shared" si="4"/>
        <v>40217.56</v>
      </c>
      <c r="E9" s="134">
        <v>23202.06</v>
      </c>
      <c r="F9" s="134">
        <v>0</v>
      </c>
      <c r="G9" s="188">
        <f>(E9+F9)/(B9+C9)</f>
        <v>0.5769136665675392</v>
      </c>
      <c r="H9" s="28">
        <v>32174.04</v>
      </c>
      <c r="I9" s="26">
        <f t="shared" si="6"/>
        <v>13788.874285714286</v>
      </c>
      <c r="J9" s="14">
        <f t="shared" si="7"/>
        <v>45962.91428571429</v>
      </c>
      <c r="K9" s="14">
        <v>50255.3</v>
      </c>
      <c r="L9" s="14"/>
      <c r="M9" s="27">
        <f t="shared" si="0"/>
        <v>1.0933880233877997</v>
      </c>
      <c r="N9" s="32">
        <f>Activity!K35*0.7*0.09442955</f>
        <v>36359.50473777825</v>
      </c>
      <c r="O9" s="13">
        <f>Activity!K35*0.3*0.09442955</f>
        <v>15582.644887619248</v>
      </c>
      <c r="P9" s="13">
        <f t="shared" si="8"/>
        <v>51942.14962539749</v>
      </c>
      <c r="Q9" s="13">
        <v>54945.08</v>
      </c>
      <c r="R9" s="13"/>
      <c r="S9" s="188">
        <f t="shared" si="9"/>
        <v>1.0578129784050025</v>
      </c>
      <c r="T9" s="28">
        <f>Activity!O35*0.07*0.7</f>
        <v>29436.26</v>
      </c>
      <c r="U9" s="14">
        <f>Activity!O35*0.07*0.3</f>
        <v>12615.54</v>
      </c>
      <c r="V9" s="14">
        <v>42051.8</v>
      </c>
      <c r="W9" s="14">
        <v>36472</v>
      </c>
      <c r="X9" s="14"/>
      <c r="Y9" s="27">
        <f t="shared" si="10"/>
        <v>0.8673112684831564</v>
      </c>
      <c r="Z9" s="181">
        <f t="shared" si="1"/>
        <v>126122.09673777824</v>
      </c>
      <c r="AA9" s="182">
        <f t="shared" si="2"/>
        <v>54052.327173333535</v>
      </c>
      <c r="AB9" s="187">
        <f t="shared" si="11"/>
        <v>180174.42391111178</v>
      </c>
      <c r="AC9" s="184">
        <f t="shared" si="3"/>
        <v>164874.44</v>
      </c>
      <c r="AD9" s="185">
        <f t="shared" si="3"/>
        <v>0</v>
      </c>
      <c r="AE9" s="186">
        <f t="shared" si="12"/>
        <v>0.9150823764050998</v>
      </c>
    </row>
    <row r="10" spans="1:31" ht="15" thickBot="1">
      <c r="A10" s="35" t="s">
        <v>33</v>
      </c>
      <c r="B10" s="131">
        <f>(54907.31)*70%</f>
        <v>38435.117</v>
      </c>
      <c r="C10" s="131">
        <f>(54907.31)*30%</f>
        <v>16472.193</v>
      </c>
      <c r="D10" s="134">
        <f t="shared" si="4"/>
        <v>54907.31</v>
      </c>
      <c r="E10" s="134">
        <v>22639.41</v>
      </c>
      <c r="F10" s="134">
        <v>17833.22</v>
      </c>
      <c r="G10" s="188">
        <f t="shared" si="5"/>
        <v>0.7371082283943614</v>
      </c>
      <c r="H10" s="28">
        <v>100543.9</v>
      </c>
      <c r="I10" s="26">
        <f t="shared" si="6"/>
        <v>43090.24285714286</v>
      </c>
      <c r="J10" s="14">
        <f t="shared" si="7"/>
        <v>143634.14285714284</v>
      </c>
      <c r="K10" s="14">
        <v>165207.35</v>
      </c>
      <c r="L10" s="14"/>
      <c r="M10" s="27">
        <f t="shared" si="0"/>
        <v>1.1501955364771013</v>
      </c>
      <c r="N10" s="32">
        <f>Activity!K35*0.7*0.19</f>
        <v>73158.30584999999</v>
      </c>
      <c r="O10" s="13">
        <f>Activity!K35*0.19*0.3</f>
        <v>31353.559649999996</v>
      </c>
      <c r="P10" s="13">
        <f t="shared" si="8"/>
        <v>104511.86549999999</v>
      </c>
      <c r="Q10" s="13">
        <v>83535.26</v>
      </c>
      <c r="R10" s="13"/>
      <c r="S10" s="188">
        <f t="shared" si="9"/>
        <v>0.799289722754016</v>
      </c>
      <c r="T10" s="28">
        <f>Activity!O35*0.25*0.7</f>
        <v>105129.5</v>
      </c>
      <c r="U10" s="14">
        <f>Activity!O35*0.25*0.3</f>
        <v>45055.5</v>
      </c>
      <c r="V10" s="14">
        <v>150185</v>
      </c>
      <c r="W10" s="14">
        <v>121261.98</v>
      </c>
      <c r="X10" s="14"/>
      <c r="Y10" s="27">
        <f t="shared" si="10"/>
        <v>0.8074173852248893</v>
      </c>
      <c r="Z10" s="181">
        <f t="shared" si="1"/>
        <v>317266.82285</v>
      </c>
      <c r="AA10" s="182">
        <f t="shared" si="2"/>
        <v>135971.49550714286</v>
      </c>
      <c r="AB10" s="187">
        <f t="shared" si="11"/>
        <v>453238.31835714285</v>
      </c>
      <c r="AC10" s="184">
        <f aca="true" t="shared" si="13" ref="AC10:AC15">E10+K10+Q10+W10</f>
        <v>392644</v>
      </c>
      <c r="AD10" s="185">
        <f>F9+L9+R10+X10</f>
        <v>0</v>
      </c>
      <c r="AE10" s="186">
        <f t="shared" si="12"/>
        <v>0.8663080417013732</v>
      </c>
    </row>
    <row r="11" spans="1:31" ht="15" thickBot="1">
      <c r="A11" s="35" t="s">
        <v>34</v>
      </c>
      <c r="B11" s="131">
        <f>(48261.25)*70%</f>
        <v>33782.875</v>
      </c>
      <c r="C11" s="131">
        <f>(48261.25)*30%</f>
        <v>14478.375</v>
      </c>
      <c r="D11" s="134">
        <f t="shared" si="4"/>
        <v>48261.25</v>
      </c>
      <c r="E11" s="134">
        <v>36959.05</v>
      </c>
      <c r="F11" s="134"/>
      <c r="G11" s="188">
        <f t="shared" si="5"/>
        <v>0.7658121163459297</v>
      </c>
      <c r="H11" s="28">
        <v>32174.04</v>
      </c>
      <c r="I11" s="26">
        <f t="shared" si="6"/>
        <v>13788.874285714286</v>
      </c>
      <c r="J11" s="14">
        <f t="shared" si="7"/>
        <v>45962.91428571429</v>
      </c>
      <c r="K11" s="14">
        <v>20732.43</v>
      </c>
      <c r="L11" s="14"/>
      <c r="M11" s="27">
        <f t="shared" si="0"/>
        <v>0.4510686565939496</v>
      </c>
      <c r="N11" s="32">
        <f>Activity!K35*0.7*0.08</f>
        <v>30803.497199999998</v>
      </c>
      <c r="O11" s="13">
        <f>Activity!K35*0.3*0.08</f>
        <v>13201.4988</v>
      </c>
      <c r="P11" s="13">
        <f t="shared" si="8"/>
        <v>44004.996</v>
      </c>
      <c r="Q11" s="13">
        <v>50612.83</v>
      </c>
      <c r="R11" s="13"/>
      <c r="S11" s="188">
        <f t="shared" si="9"/>
        <v>1.1501609953560727</v>
      </c>
      <c r="T11" s="28">
        <f>Activity!O35*0.07*0.7</f>
        <v>29436.26</v>
      </c>
      <c r="U11" s="14">
        <f>Activity!O35*0.07*0.3</f>
        <v>12615.54</v>
      </c>
      <c r="V11" s="14">
        <v>42051.8</v>
      </c>
      <c r="W11" s="14">
        <v>40639.81</v>
      </c>
      <c r="X11" s="14"/>
      <c r="Y11" s="27">
        <f t="shared" si="10"/>
        <v>0.9664226025996507</v>
      </c>
      <c r="Z11" s="181">
        <f t="shared" si="1"/>
        <v>126196.6722</v>
      </c>
      <c r="AA11" s="182">
        <f t="shared" si="2"/>
        <v>54084.28808571429</v>
      </c>
      <c r="AB11" s="187">
        <f t="shared" si="11"/>
        <v>180280.9602857143</v>
      </c>
      <c r="AC11" s="184">
        <f t="shared" si="13"/>
        <v>148944.12</v>
      </c>
      <c r="AD11" s="185">
        <f>F11+L11+R11+X11</f>
        <v>0</v>
      </c>
      <c r="AE11" s="186">
        <f t="shared" si="12"/>
        <v>0.826177760335585</v>
      </c>
    </row>
    <row r="12" spans="1:31" ht="27.75" thickBot="1">
      <c r="A12" s="35" t="s">
        <v>35</v>
      </c>
      <c r="B12" s="131">
        <f>(229814.91)*70%</f>
        <v>160870.437</v>
      </c>
      <c r="C12" s="131">
        <f>(229814.91)*30%</f>
        <v>68944.473</v>
      </c>
      <c r="D12" s="134">
        <f t="shared" si="4"/>
        <v>229814.91</v>
      </c>
      <c r="E12" s="134">
        <v>219603.66</v>
      </c>
      <c r="F12" s="134"/>
      <c r="G12" s="188">
        <f t="shared" si="5"/>
        <v>0.9555675043016139</v>
      </c>
      <c r="H12" s="28">
        <v>180979.01</v>
      </c>
      <c r="I12" s="26">
        <f t="shared" si="6"/>
        <v>77562.43285714286</v>
      </c>
      <c r="J12" s="14">
        <f t="shared" si="7"/>
        <v>258541.4428571429</v>
      </c>
      <c r="K12" s="14">
        <v>286082.02</v>
      </c>
      <c r="L12" s="14"/>
      <c r="M12" s="27">
        <f t="shared" si="0"/>
        <v>1.1065228724590768</v>
      </c>
      <c r="N12" s="32">
        <f>Activity!K35*0.395*0.7</f>
        <v>152092.267425</v>
      </c>
      <c r="O12" s="13">
        <f>Activity!K35*0.3*0.395</f>
        <v>65182.400324999995</v>
      </c>
      <c r="P12" s="13">
        <f t="shared" si="8"/>
        <v>217274.66775</v>
      </c>
      <c r="Q12" s="13">
        <v>231863.28</v>
      </c>
      <c r="R12" s="13"/>
      <c r="S12" s="188">
        <f t="shared" si="9"/>
        <v>1.0671436408168204</v>
      </c>
      <c r="T12" s="28">
        <f>Activity!O35*0.4*0.7</f>
        <v>168207.19999999998</v>
      </c>
      <c r="U12" s="14">
        <f>Activity!O35*0.4*0.3</f>
        <v>72088.8</v>
      </c>
      <c r="V12" s="14">
        <v>240296</v>
      </c>
      <c r="W12" s="14">
        <v>271998.85</v>
      </c>
      <c r="X12" s="14"/>
      <c r="Y12" s="27">
        <f t="shared" si="10"/>
        <v>1.131932491593701</v>
      </c>
      <c r="Z12" s="181">
        <f t="shared" si="1"/>
        <v>662148.914425</v>
      </c>
      <c r="AA12" s="182">
        <f t="shared" si="2"/>
        <v>283778.10618214286</v>
      </c>
      <c r="AB12" s="187">
        <f t="shared" si="11"/>
        <v>945927.0206071428</v>
      </c>
      <c r="AC12" s="184">
        <f t="shared" si="13"/>
        <v>1009547.81</v>
      </c>
      <c r="AD12" s="185">
        <f>F12+L12+R12+X12</f>
        <v>0</v>
      </c>
      <c r="AE12" s="186">
        <f t="shared" si="12"/>
        <v>1.0672576086810823</v>
      </c>
    </row>
    <row r="13" spans="1:31" ht="27.75" thickBot="1">
      <c r="A13" s="35" t="s">
        <v>36</v>
      </c>
      <c r="B13" s="131">
        <f>(140870.22)*70%</f>
        <v>98609.154</v>
      </c>
      <c r="C13" s="131">
        <f>(140870.22)*30%</f>
        <v>42261.066</v>
      </c>
      <c r="D13" s="134">
        <f t="shared" si="4"/>
        <v>140870.22</v>
      </c>
      <c r="E13" s="134">
        <v>87422.62</v>
      </c>
      <c r="F13" s="134">
        <v>5289.84</v>
      </c>
      <c r="G13" s="188">
        <f t="shared" si="5"/>
        <v>0.6581409470362153</v>
      </c>
      <c r="H13" s="28">
        <v>54695.88</v>
      </c>
      <c r="I13" s="26">
        <f t="shared" si="6"/>
        <v>23441.091428571428</v>
      </c>
      <c r="J13" s="14">
        <f t="shared" si="7"/>
        <v>78136.97142857143</v>
      </c>
      <c r="K13" s="14">
        <v>79749.37</v>
      </c>
      <c r="L13" s="14"/>
      <c r="M13" s="27">
        <f t="shared" si="0"/>
        <v>1.0206355396421083</v>
      </c>
      <c r="N13" s="32">
        <f>136529.36*0.7</f>
        <v>95570.55199999998</v>
      </c>
      <c r="O13" s="13">
        <f>136529.36*0.3</f>
        <v>40958.808</v>
      </c>
      <c r="P13" s="13">
        <f t="shared" si="8"/>
        <v>136529.36</v>
      </c>
      <c r="Q13" s="13">
        <v>107718.92</v>
      </c>
      <c r="R13" s="13">
        <v>2034.43</v>
      </c>
      <c r="S13" s="188">
        <f t="shared" si="9"/>
        <v>0.8038809381366763</v>
      </c>
      <c r="T13" s="28">
        <v>109334.46</v>
      </c>
      <c r="U13" s="14">
        <v>46857.62</v>
      </c>
      <c r="V13" s="14">
        <v>156192.08000000002</v>
      </c>
      <c r="W13" s="14">
        <v>167162.39</v>
      </c>
      <c r="X13" s="14"/>
      <c r="Y13" s="27">
        <f t="shared" si="10"/>
        <v>1.0702360196496519</v>
      </c>
      <c r="Z13" s="181">
        <f t="shared" si="1"/>
        <v>358210.046</v>
      </c>
      <c r="AA13" s="182">
        <f t="shared" si="2"/>
        <v>153518.58542857142</v>
      </c>
      <c r="AB13" s="187">
        <f t="shared" si="11"/>
        <v>511728.6314285714</v>
      </c>
      <c r="AC13" s="184">
        <f t="shared" si="13"/>
        <v>442053.3</v>
      </c>
      <c r="AD13" s="185">
        <f>F13+L13+R13+X13</f>
        <v>7324.27</v>
      </c>
      <c r="AE13" s="186">
        <f t="shared" si="12"/>
        <v>0.8781560037895308</v>
      </c>
    </row>
    <row r="14" spans="1:31" ht="21" customHeight="1" thickBot="1">
      <c r="A14" s="36" t="s">
        <v>37</v>
      </c>
      <c r="B14" s="135">
        <f>SUM(B7:B13)</f>
        <v>508349.85599999997</v>
      </c>
      <c r="C14" s="135">
        <f>SUM(C7:C13)</f>
        <v>217864.224</v>
      </c>
      <c r="D14" s="136">
        <f>SUM(D7:D13)</f>
        <v>726214.08</v>
      </c>
      <c r="E14" s="136">
        <f>SUM(E7:E13)</f>
        <v>592206.86</v>
      </c>
      <c r="F14" s="136">
        <f>SUM(F7:F13)</f>
        <v>23374.91</v>
      </c>
      <c r="G14" s="189">
        <f>(E14+F14)/(B14+C14)</f>
        <v>0.847658819834504</v>
      </c>
      <c r="H14" s="29">
        <f>SUM(H7:H13)</f>
        <v>472958.47000000003</v>
      </c>
      <c r="I14" s="2">
        <f>SUM(I7:I13)</f>
        <v>202696.48714285716</v>
      </c>
      <c r="J14" s="2">
        <f>SUM(J7:J13)</f>
        <v>675654.957142857</v>
      </c>
      <c r="K14" s="2">
        <v>662859.4099999999</v>
      </c>
      <c r="L14" s="2">
        <f>SUM(L7:L13)</f>
        <v>0</v>
      </c>
      <c r="M14" s="30">
        <f t="shared" si="0"/>
        <v>0.9810620095248531</v>
      </c>
      <c r="N14" s="29">
        <f>Activity!K39*0.7</f>
        <v>471028.0399999999</v>
      </c>
      <c r="O14" s="2">
        <f>Activity!K39*0.3</f>
        <v>201869.15999999997</v>
      </c>
      <c r="P14" s="2">
        <f>SUM(P7:P13)</f>
        <v>672897.2034253974</v>
      </c>
      <c r="Q14" s="2">
        <f>SUM(Q7:Q13)</f>
        <v>636772.6900000001</v>
      </c>
      <c r="R14" s="2">
        <f>SUM(R7:R13)</f>
        <v>2034.43</v>
      </c>
      <c r="S14" s="189">
        <f>(Q14+R14)/(N14+O14)</f>
        <v>0.9493383536147871</v>
      </c>
      <c r="T14" s="29">
        <f>SUM(T7:T13)</f>
        <v>510280.376</v>
      </c>
      <c r="U14" s="2">
        <f>SUM(U7:U13)</f>
        <v>218691.58399999997</v>
      </c>
      <c r="V14" s="2">
        <f>SUM(V7:V13)</f>
        <v>728971.96</v>
      </c>
      <c r="W14" s="2">
        <f>SUM(W7:W13)</f>
        <v>728872.63</v>
      </c>
      <c r="X14" s="2">
        <f>SUM(X7:X13)</f>
        <v>0</v>
      </c>
      <c r="Y14" s="30">
        <f>(W14+X14)/(T14+U14)</f>
        <v>0.9998637396148955</v>
      </c>
      <c r="Z14" s="22">
        <f t="shared" si="1"/>
        <v>1962616.742</v>
      </c>
      <c r="AA14" s="17">
        <f t="shared" si="2"/>
        <v>841121.455142857</v>
      </c>
      <c r="AB14" s="2">
        <f t="shared" si="11"/>
        <v>2803738.197142857</v>
      </c>
      <c r="AC14" s="18">
        <f t="shared" si="13"/>
        <v>2620711.59</v>
      </c>
      <c r="AD14" s="7">
        <f>SUM(AD7:AD13)</f>
        <v>7576.120000000001</v>
      </c>
      <c r="AE14" s="19">
        <f>(AC14+AD14)/(Z14+AA14)</f>
        <v>0.9374226568936965</v>
      </c>
    </row>
    <row r="15" spans="1:31" ht="27">
      <c r="A15" s="35" t="s">
        <v>38</v>
      </c>
      <c r="B15" s="133">
        <f>B14*0.07</f>
        <v>35584.48992</v>
      </c>
      <c r="C15" s="134">
        <f>C14*0.07</f>
        <v>15250.49568</v>
      </c>
      <c r="D15" s="134">
        <f>B15+C15</f>
        <v>50834.9856</v>
      </c>
      <c r="E15" s="134">
        <v>41450.25</v>
      </c>
      <c r="F15" s="134"/>
      <c r="G15" s="188">
        <f t="shared" si="5"/>
        <v>0.8153882510394573</v>
      </c>
      <c r="H15" s="28">
        <f>Activity!G40*0.7</f>
        <v>33107.094999999994</v>
      </c>
      <c r="I15" s="26">
        <f t="shared" si="6"/>
        <v>14188.754999999997</v>
      </c>
      <c r="J15" s="14">
        <f t="shared" si="7"/>
        <v>47295.84999999999</v>
      </c>
      <c r="K15" s="14">
        <v>46400.1587</v>
      </c>
      <c r="L15" s="14"/>
      <c r="M15" s="27">
        <f t="shared" si="0"/>
        <v>0.9810619472955874</v>
      </c>
      <c r="N15" s="32">
        <f>Activity!K40*0.7</f>
        <v>32971.9628</v>
      </c>
      <c r="O15" s="13">
        <f>Activity!K40*0.3</f>
        <v>14130.8412</v>
      </c>
      <c r="P15" s="13">
        <f>N15+O15</f>
        <v>47102.804000000004</v>
      </c>
      <c r="Q15" s="13">
        <v>44574.08830000001</v>
      </c>
      <c r="R15" s="13">
        <v>142.41010000000003</v>
      </c>
      <c r="S15" s="188">
        <f t="shared" si="9"/>
        <v>0.9493383536147871</v>
      </c>
      <c r="T15" s="28">
        <f>Activity!O40*0.7</f>
        <v>35719.626039999996</v>
      </c>
      <c r="U15" s="14">
        <f>Activity!O40*0.3</f>
        <v>15308.41116</v>
      </c>
      <c r="V15" s="14">
        <v>51028.03719999999</v>
      </c>
      <c r="W15" s="14">
        <v>51127.37</v>
      </c>
      <c r="X15" s="14"/>
      <c r="Y15" s="27">
        <f t="shared" si="10"/>
        <v>1.00194663180186</v>
      </c>
      <c r="Z15" s="181">
        <f t="shared" si="1"/>
        <v>137383.17376</v>
      </c>
      <c r="AA15" s="182">
        <f t="shared" si="2"/>
        <v>58878.503039999996</v>
      </c>
      <c r="AB15" s="187">
        <f t="shared" si="11"/>
        <v>196261.67680000002</v>
      </c>
      <c r="AC15" s="184">
        <f t="shared" si="13"/>
        <v>183551.867</v>
      </c>
      <c r="AD15" s="185">
        <f>F15+L15+R15+X15</f>
        <v>142.41010000000003</v>
      </c>
      <c r="AE15" s="186">
        <f t="shared" si="12"/>
        <v>0.9359661045146028</v>
      </c>
    </row>
    <row r="16" spans="1:31" ht="24.75" customHeight="1" thickBot="1">
      <c r="A16" s="37" t="s">
        <v>27</v>
      </c>
      <c r="B16" s="137">
        <f>B14+B15</f>
        <v>543934.34592</v>
      </c>
      <c r="C16" s="21">
        <f>C14+C15</f>
        <v>233114.71967999998</v>
      </c>
      <c r="D16" s="21">
        <f>SUM(D14:D15)</f>
        <v>777049.0656</v>
      </c>
      <c r="E16" s="21">
        <f>SUM(E14:E15)</f>
        <v>633657.11</v>
      </c>
      <c r="F16" s="21">
        <f>SUM(F14:F15)</f>
        <v>23374.91</v>
      </c>
      <c r="G16" s="198">
        <f>(E16+F16)/(B16+C16)</f>
        <v>0.8455476611282859</v>
      </c>
      <c r="H16" s="23">
        <f>H14+H15</f>
        <v>506065.565</v>
      </c>
      <c r="I16" s="21">
        <f>I14+I15</f>
        <v>216885.24214285717</v>
      </c>
      <c r="J16" s="21">
        <f>SUM(J14:J15)</f>
        <v>722950.807142857</v>
      </c>
      <c r="K16" s="21">
        <v>709259.5687</v>
      </c>
      <c r="L16" s="21">
        <f>SUM(L14:L15)</f>
        <v>0</v>
      </c>
      <c r="M16" s="198">
        <f t="shared" si="0"/>
        <v>0.9810620054537793</v>
      </c>
      <c r="N16" s="33">
        <f>N14+N15</f>
        <v>504000.0027999999</v>
      </c>
      <c r="O16" s="21">
        <f>O14+O15</f>
        <v>216000.00119999997</v>
      </c>
      <c r="P16" s="21">
        <f>SUM(P14:P15)</f>
        <v>720000.0074253974</v>
      </c>
      <c r="Q16" s="21">
        <f>SUM(Q14:Q15)</f>
        <v>681346.7783000001</v>
      </c>
      <c r="R16" s="21">
        <f>SUM(R14:R15)</f>
        <v>2176.8401</v>
      </c>
      <c r="S16" s="198">
        <f>(Q16+R16)/(N16+O16)</f>
        <v>0.9493383536147874</v>
      </c>
      <c r="T16" s="23">
        <f>T14+T15</f>
        <v>546000.0020399999</v>
      </c>
      <c r="U16" s="21">
        <f>U14+U15</f>
        <v>233999.99515999996</v>
      </c>
      <c r="V16" s="21">
        <f>SUM(V14:V15)</f>
        <v>779999.9972</v>
      </c>
      <c r="W16" s="21">
        <f>SUM(W14:W15)</f>
        <v>780000</v>
      </c>
      <c r="X16" s="21">
        <f>SUM(X14:X15)</f>
        <v>0</v>
      </c>
      <c r="Y16" s="198">
        <f>(W16+X16)/(T16+U16)</f>
        <v>1.0000000035897438</v>
      </c>
      <c r="Z16" s="23">
        <f>SUM(Z14:Z15)</f>
        <v>2099999.9157600002</v>
      </c>
      <c r="AA16" s="21">
        <f>SUM(AA14:AA15)</f>
        <v>899999.958182857</v>
      </c>
      <c r="AB16" s="20">
        <f t="shared" si="11"/>
        <v>2999999.873942857</v>
      </c>
      <c r="AC16" s="195">
        <f>SUM(AC14:AC15)</f>
        <v>2804263.457</v>
      </c>
      <c r="AD16" s="196">
        <f>SUM(AD14:AD15)</f>
        <v>7718.530100000001</v>
      </c>
      <c r="AE16" s="199">
        <f>(AC16+AD16)/(Z16+AA16)</f>
        <v>0.9373273684189367</v>
      </c>
    </row>
    <row r="18" spans="8:30" ht="14.25">
      <c r="H18" s="8"/>
      <c r="I18" s="8"/>
      <c r="J18" s="8"/>
      <c r="K18" s="8" t="s">
        <v>21</v>
      </c>
      <c r="L18" s="8"/>
      <c r="N18" s="8"/>
      <c r="O18" s="8"/>
      <c r="P18" s="8"/>
      <c r="Q18" s="8"/>
      <c r="R18" s="8"/>
      <c r="T18" s="8"/>
      <c r="U18" s="8"/>
      <c r="V18" s="8"/>
      <c r="W18" s="8"/>
      <c r="X18" s="8"/>
      <c r="AD18" s="9"/>
    </row>
    <row r="19" spans="9:28" ht="14.25">
      <c r="I19" s="8"/>
      <c r="J19" s="8"/>
      <c r="K19" s="8"/>
      <c r="L19" s="8"/>
      <c r="N19" s="9"/>
      <c r="O19" s="9"/>
      <c r="P19" s="9"/>
      <c r="Q19" s="9"/>
      <c r="R19" s="9"/>
      <c r="U19" s="8"/>
      <c r="V19" s="8"/>
      <c r="W19" s="8"/>
      <c r="X19" s="8"/>
      <c r="AB19" s="201"/>
    </row>
    <row r="20" spans="8:24" ht="14.25">
      <c r="H20" s="11"/>
      <c r="I20" s="11"/>
      <c r="J20" s="11"/>
      <c r="K20" s="11"/>
      <c r="L20" s="11"/>
      <c r="N20" s="10"/>
      <c r="T20" s="11"/>
      <c r="U20" s="11"/>
      <c r="V20" s="11"/>
      <c r="W20" s="11"/>
      <c r="X20" s="11"/>
    </row>
    <row r="21" spans="11:14" ht="14.25">
      <c r="K21" s="8"/>
      <c r="L21" s="8"/>
      <c r="N21" s="10"/>
    </row>
    <row r="22" spans="8:24" ht="14.25">
      <c r="H22" s="11"/>
      <c r="I22" s="11"/>
      <c r="J22" s="11"/>
      <c r="K22" s="11"/>
      <c r="L22" s="11"/>
      <c r="N22" s="9"/>
      <c r="T22" s="11"/>
      <c r="U22" s="11"/>
      <c r="V22" s="11"/>
      <c r="W22" s="11"/>
      <c r="X22" s="11"/>
    </row>
    <row r="25" spans="1:7" ht="14.25">
      <c r="A25" s="10"/>
      <c r="B25" s="10"/>
      <c r="C25" s="10"/>
      <c r="D25" s="10"/>
      <c r="E25" s="10"/>
      <c r="F25" s="10"/>
      <c r="G25" s="10"/>
    </row>
    <row r="27" spans="1:7" ht="14.25">
      <c r="A27" s="10"/>
      <c r="B27" s="10"/>
      <c r="C27" s="10"/>
      <c r="D27" s="10"/>
      <c r="E27" s="10"/>
      <c r="F27" s="10"/>
      <c r="G27" s="10"/>
    </row>
    <row r="29" spans="1:7" ht="14.25">
      <c r="A29" s="10"/>
      <c r="B29" s="10"/>
      <c r="C29" s="10"/>
      <c r="D29" s="10"/>
      <c r="E29" s="10"/>
      <c r="F29" s="10"/>
      <c r="G29" s="10"/>
    </row>
    <row r="31" spans="1:7" ht="14.25">
      <c r="A31" s="10"/>
      <c r="B31" s="10"/>
      <c r="C31" s="10"/>
      <c r="D31" s="10"/>
      <c r="E31" s="10"/>
      <c r="F31" s="10"/>
      <c r="G31" s="10"/>
    </row>
    <row r="32" ht="14.25">
      <c r="N32" s="9"/>
    </row>
  </sheetData>
  <sheetProtection/>
  <mergeCells count="11">
    <mergeCell ref="AC5:AC6"/>
    <mergeCell ref="AD5:AD6"/>
    <mergeCell ref="AE5:AE6"/>
    <mergeCell ref="AB5:AB6"/>
    <mergeCell ref="A5:A6"/>
    <mergeCell ref="Z5:Z6"/>
    <mergeCell ref="AA5:AA6"/>
    <mergeCell ref="N5:S5"/>
    <mergeCell ref="T5:Y5"/>
    <mergeCell ref="B5:G5"/>
    <mergeCell ref="H5:M5"/>
  </mergeCells>
  <printOptions/>
  <pageMargins left="0.25" right="0.25" top="0.75" bottom="0.75" header="0.3" footer="0.3"/>
  <pageSetup fitToHeight="0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Zelenovic</dc:creator>
  <cp:keywords/>
  <dc:description/>
  <cp:lastModifiedBy>John Dennis</cp:lastModifiedBy>
  <cp:lastPrinted>2021-11-10T16:46:39Z</cp:lastPrinted>
  <dcterms:created xsi:type="dcterms:W3CDTF">2017-11-15T21:17:43Z</dcterms:created>
  <dcterms:modified xsi:type="dcterms:W3CDTF">2022-06-20T20:36:44Z</dcterms:modified>
  <cp:category/>
  <cp:version/>
  <cp:contentType/>
  <cp:contentStatus/>
</cp:coreProperties>
</file>