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semestriel juin 2022\Participation cotoyenne\"/>
    </mc:Choice>
  </mc:AlternateContent>
  <xr:revisionPtr revIDLastSave="0" documentId="8_{5FAEB5FA-8EA5-4824-911F-B21EDE566953}" xr6:coauthVersionLast="47" xr6:coauthVersionMax="47" xr10:uidLastSave="{00000000-0000-0000-0000-000000000000}"/>
  <bookViews>
    <workbookView xWindow="-110" yWindow="-110" windowWidth="19420" windowHeight="10420" activeTab="1" xr2:uid="{00000000-000D-0000-FFFF-FFFF00000000}"/>
  </bookViews>
  <sheets>
    <sheet name="Budget par resultats" sheetId="1" r:id="rId1"/>
    <sheet name="Budget par categorie" sheetId="2" r:id="rId2"/>
  </sheets>
  <definedNames>
    <definedName name="_xlnm.Print_Area" localSheetId="1">'Budget par categorie'!#REF!</definedName>
    <definedName name="_xlnm.Print_Area" localSheetId="0">'Budget par resultats'!$A$1:$M$59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1" l="1"/>
  <c r="K48" i="1"/>
  <c r="H58" i="1" l="1"/>
  <c r="I59" i="1"/>
  <c r="J57" i="1"/>
  <c r="J59" i="1" s="1"/>
  <c r="J14" i="1"/>
  <c r="J21" i="1"/>
  <c r="J27" i="1"/>
  <c r="J35" i="1"/>
  <c r="J42" i="1" s="1"/>
  <c r="J41" i="1"/>
  <c r="J54" i="1"/>
  <c r="J53" i="1"/>
  <c r="J40" i="1"/>
  <c r="J37" i="1"/>
  <c r="J34" i="1"/>
  <c r="J19" i="1"/>
  <c r="X17" i="2"/>
  <c r="X22" i="2"/>
  <c r="X20" i="2"/>
  <c r="X21" i="2"/>
  <c r="K52" i="1"/>
  <c r="J28" i="1" l="1"/>
  <c r="L46" i="1" l="1"/>
  <c r="AC11" i="2"/>
  <c r="L56" i="1"/>
  <c r="L55" i="1"/>
  <c r="L54" i="1"/>
  <c r="L53" i="1"/>
  <c r="AC7" i="2"/>
  <c r="AC8" i="2"/>
  <c r="AC9" i="2"/>
  <c r="AC10" i="2"/>
  <c r="Y14" i="2" l="1"/>
  <c r="AA14" i="2" l="1"/>
  <c r="AC14" i="2" s="1"/>
  <c r="Z13" i="2"/>
  <c r="Y12" i="2" l="1"/>
  <c r="AC12" i="2" s="1"/>
  <c r="D52" i="1" l="1"/>
  <c r="E52" i="1"/>
  <c r="F52" i="1"/>
  <c r="H52" i="1"/>
  <c r="I52" i="1"/>
  <c r="J52" i="1"/>
  <c r="C52" i="1"/>
  <c r="L49" i="1"/>
  <c r="L45" i="1"/>
  <c r="U6" i="2" l="1"/>
  <c r="M6" i="2"/>
  <c r="V6" i="2" l="1"/>
  <c r="U11" i="2" l="1"/>
  <c r="U12" i="2"/>
  <c r="U7" i="2"/>
  <c r="U8" i="2"/>
  <c r="U9" i="2"/>
  <c r="U10" i="2"/>
  <c r="T15" i="2"/>
  <c r="T14" i="2"/>
  <c r="T13" i="2"/>
  <c r="S15" i="2"/>
  <c r="S14" i="2"/>
  <c r="S13" i="2"/>
  <c r="T7" i="2"/>
  <c r="T8" i="2"/>
  <c r="T9" i="2"/>
  <c r="T10" i="2"/>
  <c r="T11" i="2"/>
  <c r="T12" i="2"/>
  <c r="T6" i="2"/>
  <c r="L6" i="2"/>
  <c r="Q15" i="2"/>
  <c r="Q14" i="2"/>
  <c r="Q13" i="2"/>
  <c r="AA13" i="2" l="1"/>
  <c r="Z15" i="2" l="1"/>
  <c r="M12" i="2"/>
  <c r="L12" i="2"/>
  <c r="M11" i="2"/>
  <c r="L11" i="2"/>
  <c r="M10" i="2"/>
  <c r="L10" i="2"/>
  <c r="L9" i="2"/>
  <c r="M8" i="2"/>
  <c r="L8" i="2"/>
  <c r="M7" i="2"/>
  <c r="L7" i="2"/>
  <c r="K6" i="2"/>
  <c r="K13" i="2" s="1"/>
  <c r="H13" i="2"/>
  <c r="I9" i="2"/>
  <c r="I13" i="2" s="1"/>
  <c r="I14" i="2" s="1"/>
  <c r="I15" i="2" s="1"/>
  <c r="M9" i="2" l="1"/>
  <c r="M13" i="2" s="1"/>
  <c r="M14" i="2" s="1"/>
  <c r="M15" i="2" s="1"/>
  <c r="L13" i="2"/>
  <c r="L14" i="2" s="1"/>
  <c r="L15" i="2" s="1"/>
  <c r="K14" i="2"/>
  <c r="K15" i="2" s="1"/>
  <c r="W9" i="2" l="1"/>
  <c r="V9" i="2"/>
  <c r="Y6" i="2" l="1"/>
  <c r="I35" i="1"/>
  <c r="I27" i="1"/>
  <c r="I21" i="1"/>
  <c r="I14" i="1"/>
  <c r="F57" i="1"/>
  <c r="AB13" i="2"/>
  <c r="AB15" i="2" s="1"/>
  <c r="AA15" i="2"/>
  <c r="R13" i="2"/>
  <c r="R14" i="2" s="1"/>
  <c r="P13" i="2"/>
  <c r="O13" i="2"/>
  <c r="N13" i="2"/>
  <c r="J13" i="2"/>
  <c r="H14" i="2"/>
  <c r="D13" i="2"/>
  <c r="B13" i="2"/>
  <c r="W12" i="2"/>
  <c r="V12" i="2"/>
  <c r="F12" i="2"/>
  <c r="C12" i="2"/>
  <c r="E12" i="2" s="1"/>
  <c r="W11" i="2"/>
  <c r="V11" i="2"/>
  <c r="F11" i="2"/>
  <c r="C11" i="2"/>
  <c r="E11" i="2" s="1"/>
  <c r="G11" i="2" s="1"/>
  <c r="W10" i="2"/>
  <c r="V10" i="2"/>
  <c r="F10" i="2"/>
  <c r="C10" i="2"/>
  <c r="E10" i="2" s="1"/>
  <c r="G10" i="2" s="1"/>
  <c r="X9" i="2"/>
  <c r="F9" i="2"/>
  <c r="C9" i="2"/>
  <c r="E9" i="2" s="1"/>
  <c r="G9" i="2" s="1"/>
  <c r="W8" i="2"/>
  <c r="V8" i="2"/>
  <c r="F8" i="2"/>
  <c r="E8" i="2"/>
  <c r="G8" i="2" s="1"/>
  <c r="W7" i="2"/>
  <c r="V7" i="2"/>
  <c r="F7" i="2"/>
  <c r="E7" i="2"/>
  <c r="G7" i="2" s="1"/>
  <c r="W6" i="2"/>
  <c r="F6" i="2"/>
  <c r="E6" i="2"/>
  <c r="G6" i="2" s="1"/>
  <c r="L51" i="1"/>
  <c r="L48" i="1"/>
  <c r="L52" i="1" s="1"/>
  <c r="L40" i="1"/>
  <c r="H41" i="1"/>
  <c r="I41" i="1"/>
  <c r="K41" i="1"/>
  <c r="L38" i="1"/>
  <c r="L39" i="1"/>
  <c r="L37" i="1"/>
  <c r="L34" i="1"/>
  <c r="L33" i="1"/>
  <c r="L32" i="1"/>
  <c r="L31" i="1"/>
  <c r="H35" i="1"/>
  <c r="K35" i="1"/>
  <c r="L24" i="1"/>
  <c r="L25" i="1"/>
  <c r="L26" i="1"/>
  <c r="L23" i="1"/>
  <c r="K27" i="1"/>
  <c r="H27" i="1"/>
  <c r="E27" i="1"/>
  <c r="L17" i="1"/>
  <c r="L18" i="1"/>
  <c r="L19" i="1"/>
  <c r="L20" i="1"/>
  <c r="L16" i="1"/>
  <c r="L13" i="1"/>
  <c r="K21" i="1"/>
  <c r="H21" i="1"/>
  <c r="L11" i="1"/>
  <c r="L12" i="1"/>
  <c r="L10" i="1"/>
  <c r="K14" i="1"/>
  <c r="H14" i="1"/>
  <c r="E14" i="1"/>
  <c r="N56" i="1"/>
  <c r="O56" i="1" s="1"/>
  <c r="N55" i="1"/>
  <c r="O55" i="1" s="1"/>
  <c r="N54" i="1"/>
  <c r="O54" i="1" s="1"/>
  <c r="N53" i="1"/>
  <c r="O53" i="1"/>
  <c r="N51" i="1"/>
  <c r="O51" i="1"/>
  <c r="N48" i="1"/>
  <c r="O48" i="1" s="1"/>
  <c r="N45" i="1"/>
  <c r="O45" i="1" s="1"/>
  <c r="N40" i="1"/>
  <c r="O40" i="1" s="1"/>
  <c r="N39" i="1"/>
  <c r="O39" i="1" s="1"/>
  <c r="N38" i="1"/>
  <c r="O38" i="1"/>
  <c r="N37" i="1"/>
  <c r="O37" i="1" s="1"/>
  <c r="N34" i="1"/>
  <c r="O34" i="1" s="1"/>
  <c r="N33" i="1"/>
  <c r="O33" i="1" s="1"/>
  <c r="N32" i="1"/>
  <c r="O32" i="1" s="1"/>
  <c r="N31" i="1"/>
  <c r="O31" i="1" s="1"/>
  <c r="N26" i="1"/>
  <c r="O26" i="1" s="1"/>
  <c r="N25" i="1"/>
  <c r="O25" i="1" s="1"/>
  <c r="N24" i="1"/>
  <c r="O24" i="1" s="1"/>
  <c r="N23" i="1"/>
  <c r="O23" i="1"/>
  <c r="N20" i="1"/>
  <c r="O20" i="1" s="1"/>
  <c r="N19" i="1"/>
  <c r="O19" i="1" s="1"/>
  <c r="N18" i="1"/>
  <c r="O18" i="1" s="1"/>
  <c r="N17" i="1"/>
  <c r="O17" i="1"/>
  <c r="N16" i="1"/>
  <c r="O16" i="1" s="1"/>
  <c r="N13" i="1"/>
  <c r="O13" i="1" s="1"/>
  <c r="N12" i="1"/>
  <c r="O12" i="1" s="1"/>
  <c r="N11" i="1"/>
  <c r="O11" i="1" s="1"/>
  <c r="N10" i="1"/>
  <c r="O10" i="1" s="1"/>
  <c r="D21" i="1"/>
  <c r="D27" i="1"/>
  <c r="C35" i="1"/>
  <c r="D41" i="1"/>
  <c r="D35" i="1"/>
  <c r="E35" i="1"/>
  <c r="E41" i="1"/>
  <c r="C27" i="1"/>
  <c r="B27" i="1" s="1"/>
  <c r="E21" i="1"/>
  <c r="C21" i="1"/>
  <c r="D14" i="1"/>
  <c r="C14" i="1"/>
  <c r="C41" i="1"/>
  <c r="B41" i="1" s="1"/>
  <c r="AC6" i="2" l="1"/>
  <c r="Y13" i="2"/>
  <c r="I28" i="1"/>
  <c r="D42" i="1"/>
  <c r="B52" i="1"/>
  <c r="E28" i="1"/>
  <c r="K28" i="1"/>
  <c r="K57" i="1" s="1"/>
  <c r="X7" i="2"/>
  <c r="X6" i="2"/>
  <c r="X10" i="2"/>
  <c r="B14" i="2"/>
  <c r="B15" i="2" s="1"/>
  <c r="L41" i="1"/>
  <c r="L27" i="1"/>
  <c r="L21" i="1"/>
  <c r="P14" i="2"/>
  <c r="P15" i="2" s="1"/>
  <c r="N14" i="2"/>
  <c r="N15" i="2" s="1"/>
  <c r="C28" i="1"/>
  <c r="V13" i="2"/>
  <c r="V14" i="2" s="1"/>
  <c r="X8" i="2"/>
  <c r="X12" i="2"/>
  <c r="E42" i="1"/>
  <c r="B21" i="1"/>
  <c r="B35" i="1"/>
  <c r="L14" i="1"/>
  <c r="H28" i="1"/>
  <c r="C42" i="1"/>
  <c r="D28" i="1"/>
  <c r="B28" i="1" s="1"/>
  <c r="O57" i="1"/>
  <c r="E57" i="1"/>
  <c r="F58" i="1"/>
  <c r="F59" i="1" s="1"/>
  <c r="B42" i="1"/>
  <c r="W13" i="2"/>
  <c r="W14" i="2" s="1"/>
  <c r="W15" i="2" s="1"/>
  <c r="D14" i="2"/>
  <c r="D15" i="2" s="1"/>
  <c r="X11" i="2"/>
  <c r="I42" i="1"/>
  <c r="B14" i="1"/>
  <c r="H42" i="1"/>
  <c r="F13" i="2"/>
  <c r="F14" i="2" s="1"/>
  <c r="F15" i="2" s="1"/>
  <c r="R15" i="2"/>
  <c r="J14" i="2"/>
  <c r="J15" i="2" s="1"/>
  <c r="H15" i="2"/>
  <c r="G12" i="2"/>
  <c r="G13" i="2" s="1"/>
  <c r="C13" i="2"/>
  <c r="O14" i="2"/>
  <c r="O15" i="2" s="1"/>
  <c r="E13" i="2"/>
  <c r="L35" i="1"/>
  <c r="K59" i="1" l="1"/>
  <c r="AC13" i="2"/>
  <c r="H57" i="1"/>
  <c r="H59" i="1" s="1"/>
  <c r="C57" i="1"/>
  <c r="C58" i="1" s="1"/>
  <c r="D57" i="1"/>
  <c r="D58" i="1" s="1"/>
  <c r="D59" i="1" s="1"/>
  <c r="L28" i="1"/>
  <c r="L42" i="1"/>
  <c r="I57" i="1"/>
  <c r="V15" i="2"/>
  <c r="X13" i="2"/>
  <c r="X14" i="2" s="1"/>
  <c r="X15" i="2" s="1"/>
  <c r="E58" i="1"/>
  <c r="E59" i="1" s="1"/>
  <c r="G14" i="2"/>
  <c r="G15" i="2" s="1"/>
  <c r="E14" i="2"/>
  <c r="E15" i="2" s="1"/>
  <c r="C14" i="2"/>
  <c r="C15" i="2" s="1"/>
  <c r="L57" i="1" l="1"/>
  <c r="AC15" i="2"/>
  <c r="AC17" i="2" s="1"/>
  <c r="Y15" i="2"/>
  <c r="C59" i="1"/>
  <c r="B59" i="1" s="1"/>
  <c r="B57" i="1"/>
  <c r="L58" i="1"/>
  <c r="B58" i="1"/>
  <c r="L59" i="1" l="1"/>
  <c r="U13" i="2"/>
  <c r="U14" i="2" s="1"/>
  <c r="U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Baliens Caldet</author>
    <author>Utilisateur Windows</author>
    <author>Narre Ngamada</author>
  </authors>
  <commentList>
    <comment ref="G6" authorId="0" shapeId="0" xr:uid="{00000000-0006-0000-0100-000001000000}">
      <text>
        <r>
          <rPr>
            <b/>
            <sz val="9"/>
            <color indexed="81"/>
            <rFont val="Tahoma"/>
            <family val="2"/>
          </rPr>
          <t>Administrator:</t>
        </r>
        <r>
          <rPr>
            <sz val="9"/>
            <color indexed="81"/>
            <rFont val="Tahoma"/>
            <family val="2"/>
          </rPr>
          <t xml:space="preserve">
Légère augmentation à partir de la catégorie 7, due à l'usage des catégories diffèrentes dans le système UNICEF.</t>
        </r>
      </text>
    </comment>
    <comment ref="Z6" authorId="1" shapeId="0" xr:uid="{BB49BC51-C6DE-4BD3-90F7-9827B6834D12}">
      <text>
        <r>
          <rPr>
            <sz val="9"/>
            <color indexed="81"/>
            <rFont val="Tahoma"/>
            <family val="2"/>
          </rPr>
          <t xml:space="preserve">Le payroll enregistré sur les comptes de cette catégégorie n'a pas a été correctement reclassifié, raison pour laquelle le total des dépenses est négatif. Toutefois, une régularisation correcte est faite en 2021 et le second rapport financier aura les dépenses de la catégorie 1 
</t>
        </r>
      </text>
    </comment>
    <comment ref="G7" authorId="0" shapeId="0" xr:uid="{00000000-0006-0000-0100-000002000000}">
      <text>
        <r>
          <rPr>
            <b/>
            <sz val="9"/>
            <color indexed="81"/>
            <rFont val="Tahoma"/>
            <family val="2"/>
          </rPr>
          <t>Administrator:</t>
        </r>
        <r>
          <rPr>
            <sz val="9"/>
            <color indexed="81"/>
            <rFont val="Tahoma"/>
            <family val="2"/>
          </rPr>
          <t xml:space="preserve">
Augmentation à partir de la catégorie 5, due à l'usage des catégories diffèrentes dans le système UNICEF. </t>
        </r>
      </text>
    </comment>
    <comment ref="Z8" authorId="2" shapeId="0" xr:uid="{35E030ED-3452-40FE-B340-6D6917C35F81}">
      <text>
        <r>
          <rPr>
            <sz val="9"/>
            <color indexed="81"/>
            <rFont val="Tahoma"/>
            <family val="2"/>
          </rPr>
          <t xml:space="preserve">
Le dépassement est constaté suite à une écriture comptable inadéquate que le projet PNUD a  régularisé dans le système Atlas en 2021. Le second rapport financier portera la correction et il n'y aura pas cet écart négatif</t>
        </r>
      </text>
    </comment>
    <comment ref="G9" authorId="0" shapeId="0" xr:uid="{00000000-0006-0000-0100-000004000000}">
      <text>
        <r>
          <rPr>
            <b/>
            <sz val="9"/>
            <color indexed="81"/>
            <rFont val="Tahoma"/>
            <family val="2"/>
          </rPr>
          <t>Administrator:</t>
        </r>
        <r>
          <rPr>
            <sz val="9"/>
            <color indexed="81"/>
            <rFont val="Tahoma"/>
            <family val="2"/>
          </rPr>
          <t xml:space="preserve">
Augmentation, a partir des categories 6 et 7, due à l'usage des catégories différentes dans le système UNICEF. La mise en oeuvre des activités planifiées de communication et visbilité se fera par les services contractuels et le recrutement d'un  consultant</t>
        </r>
      </text>
    </comment>
    <comment ref="I9" authorId="3" shapeId="0" xr:uid="{FCD7E4E2-950E-4CE1-99FA-7590A3AD8426}">
      <text>
        <r>
          <rPr>
            <b/>
            <sz val="9"/>
            <color indexed="81"/>
            <rFont val="Tahoma"/>
            <family val="2"/>
          </rPr>
          <t>Narre Ngamada:</t>
        </r>
        <r>
          <rPr>
            <sz val="9"/>
            <color indexed="81"/>
            <rFont val="Tahoma"/>
            <family val="2"/>
          </rPr>
          <t xml:space="preserve">
Il y'a eu reclassification des dépenses par rapport aux catégories, car certaines activités qui etaient classifiées dans les subventions ont été réalisés avec des partenaires en contrats</t>
        </r>
      </text>
    </comment>
    <comment ref="Z9" authorId="1" shapeId="0" xr:uid="{02553636-4657-4141-97E6-928F26921663}">
      <text>
        <r>
          <rPr>
            <sz val="9"/>
            <color indexed="81"/>
            <rFont val="Tahoma"/>
            <family val="2"/>
          </rPr>
          <t xml:space="preserve">
La planification bugétaire initiale n'était pas faite conformément aux catégories des dépenses de l'UNDG. Ainsi, les dépenses réalisées sont plus regroupées dans cette catégorie 4, comptes classe 7, y compris d'autres activités qui étaient considérées au départ comme des subventions de la catégorie 6). Une régularisation est faite en 2021 en vue d'affecter les dépenses vers leurs catégories</t>
        </r>
      </text>
    </comment>
    <comment ref="G10" authorId="0" shapeId="0" xr:uid="{00000000-0006-0000-0100-000005000000}">
      <text>
        <r>
          <rPr>
            <b/>
            <sz val="9"/>
            <color indexed="81"/>
            <rFont val="Tahoma"/>
            <family val="2"/>
          </rPr>
          <t>Administrator:</t>
        </r>
        <r>
          <rPr>
            <sz val="9"/>
            <color indexed="81"/>
            <rFont val="Tahoma"/>
            <family val="2"/>
          </rPr>
          <t xml:space="preserve">
La différence du montant est inclue  dans la catégorie 2 pour la mise en oeuvre de l'évaluation </t>
        </r>
      </text>
    </comment>
    <comment ref="G11" authorId="0" shapeId="0" xr:uid="{00000000-0006-0000-0100-000006000000}">
      <text>
        <r>
          <rPr>
            <b/>
            <sz val="9"/>
            <color indexed="81"/>
            <rFont val="Tahoma"/>
            <family val="2"/>
          </rPr>
          <t>Administrator:</t>
        </r>
        <r>
          <rPr>
            <sz val="9"/>
            <color indexed="81"/>
            <rFont val="Tahoma"/>
            <family val="2"/>
          </rPr>
          <t xml:space="preserve">
La différence du montant est inclue dans la catégorie 4, pour le recrutement d'un consultant pour l’appui à la réalisation des activités planifiées.</t>
        </r>
      </text>
    </comment>
    <comment ref="G12" authorId="0" shapeId="0" xr:uid="{00000000-0006-0000-0100-000008000000}">
      <text>
        <r>
          <rPr>
            <b/>
            <sz val="9"/>
            <color indexed="81"/>
            <rFont val="Tahoma"/>
            <family val="2"/>
          </rPr>
          <t>Administrator:</t>
        </r>
        <r>
          <rPr>
            <sz val="9"/>
            <color indexed="81"/>
            <rFont val="Tahoma"/>
            <family val="2"/>
          </rPr>
          <t xml:space="preserve">
La différence du montant a ete reversee dans les categories 1 et 4 pour tenir compte des differences de categories dans le systeme d'UNICEF </t>
        </r>
      </text>
    </comment>
    <comment ref="I12" authorId="1" shapeId="0" xr:uid="{06D5872B-58AE-4818-8DE2-C906E38FBFC3}">
      <text>
        <r>
          <rPr>
            <sz val="9"/>
            <color indexed="81"/>
            <rFont val="Tahoma"/>
            <family val="2"/>
          </rPr>
          <t xml:space="preserve">
Il y a des comptes des dépenses faites pour les autres catégories mais qui sont regroupées dans le catégorie 7 par l'UNDG</t>
        </r>
      </text>
    </comment>
    <comment ref="Z12" authorId="1" shapeId="0" xr:uid="{EA71D244-2444-49B4-905D-2D4B3F781751}">
      <text>
        <r>
          <rPr>
            <b/>
            <sz val="9"/>
            <color indexed="81"/>
            <rFont val="Tahoma"/>
            <family val="2"/>
          </rPr>
          <t>Baliens Caldet:</t>
        </r>
        <r>
          <rPr>
            <sz val="9"/>
            <color indexed="81"/>
            <rFont val="Tahoma"/>
            <family val="2"/>
          </rPr>
          <t xml:space="preserve">
Catégorie des dépenses régularisée en 2021 étant donné qu'il y avait inadéquation d'affectation de ligne budgétaire.</t>
        </r>
      </text>
    </comment>
  </commentList>
</comments>
</file>

<file path=xl/sharedStrings.xml><?xml version="1.0" encoding="utf-8"?>
<sst xmlns="http://schemas.openxmlformats.org/spreadsheetml/2006/main" count="152" uniqueCount="132">
  <si>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</si>
  <si>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</si>
  <si>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</si>
  <si>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</si>
  <si>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</si>
  <si>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HCDH</t>
  </si>
  <si>
    <t>UNICEF</t>
  </si>
  <si>
    <t>PNUD</t>
  </si>
  <si>
    <t>PAM</t>
  </si>
  <si>
    <t xml:space="preserve">Pourcentage du budget pour chaque produit ou activite reserve pour action directe sur le genre (cas echeant) </t>
  </si>
  <si>
    <r>
      <t xml:space="preserve">Niveau de depense/ engagement actuel en USD total de 4 agences </t>
    </r>
    <r>
      <rPr>
        <sz val="9"/>
        <color theme="1"/>
        <rFont val="Times New Roman"/>
        <family val="1"/>
      </rPr>
      <t>(a remplir au moment des rapports de projet)</t>
    </r>
  </si>
  <si>
    <r>
      <t xml:space="preserve">Notes quelconque le cas echeant </t>
    </r>
    <r>
      <rPr>
        <sz val="9"/>
        <color theme="1"/>
        <rFont val="Times New Roman"/>
        <family val="1"/>
      </rPr>
      <t>(e.g sur types des entrants ou justification du budget)</t>
    </r>
  </si>
  <si>
    <t>Resultat 1: L’environnement légal favorable contribue à la participation des jeunes femmes et des hommes et des femmes à la gouvernance locale pour la consolidation de la paix</t>
  </si>
  <si>
    <t>Produit 1.1: L’opérationnalisation des résolutions 1325-2250 et des stratégies nationale du Genre et de la jeunes favorisent la participation des jeunes,  femmes et hommes y compris des personnes déplacées à la gouvernance locale, à l’accès à la justice et au processus de consolidation de la paix à N’Djaména et dans la région du Lac.</t>
  </si>
  <si>
    <t>Activite 1.1.1:</t>
  </si>
  <si>
    <t>Appuyer le processus d’opérationnalisation des Résolutions 1325 et 2250 et les stratégies genre et jeunesse du Tchad</t>
  </si>
  <si>
    <t>Activite 1.1.2:</t>
  </si>
  <si>
    <t xml:space="preserve">Renforcer les capacités des leaders communautaires, mouvements et organisations des femmes et des jeunes en plaidoyer public en vue de leur participation croissante dans les processus et instances de gouvernance locale. </t>
  </si>
  <si>
    <t>Activite 1.1.3:</t>
  </si>
  <si>
    <t>Appuyer la sensibilisation à travers les émissions radios des jeunes hommes, femmes âgées de 15 à 35 ans, femmes rurales et vulnérables (déplacées, retournées et refugiées) sur la coexistence pacifique et le recours à la justice et le respect des droits humains</t>
  </si>
  <si>
    <t>Activite 1.1.4 :</t>
  </si>
  <si>
    <t xml:space="preserve">Appuyer la mise en place des bureaux d'aide juridique et l'assistance judiciaire pour l'accompagnement des jeunes hommes, femmes âgées de 15 à 35 ans, femmes rurales et vulnérables (déplacées, retournées et refugiées) pour l’accès à leurs droits dans les systèmes de justice formels et informels existants. </t>
  </si>
  <si>
    <t>Total Produit 1,1</t>
  </si>
  <si>
    <t>Produit 1.2: Les leaders de la société civile, les jeunes femmes et hommes y compris les femmes connaissent les processus et procédures légales de participation citoyenne et engagent des initiatives pour la cohésion sociale et à la prise de décision au sein des espaces de gouvernance locale à N’djaména, à Moundou et dans la région du Lac.</t>
  </si>
  <si>
    <t>Activite 1.2.1:</t>
  </si>
  <si>
    <t>Production des supports de communication sur la citoyennete et la cohesion sociale</t>
  </si>
  <si>
    <t>Activite 1.2.2:</t>
  </si>
  <si>
    <t>Mise en place de U_Report pour echange entre les jeunes sur la citoyennete et la cohesion sociale; organisation  des journée d'information sur les conditions de particpation aux élections législatives locales et communales</t>
  </si>
  <si>
    <t>Activite 1.2.3:</t>
  </si>
  <si>
    <t>Mise en de la plateforme des jeunes leaders des partis politiques pour la promotion de dialogue apaisé et sans violence lors des élections</t>
  </si>
  <si>
    <t>Activite 1.2.4:</t>
  </si>
  <si>
    <t>Organiser une compétition communale des organisations à base communautaire pour des actions de cohésion sociale et de gouvernance locale</t>
  </si>
  <si>
    <t>Activite 1.2.5:</t>
  </si>
  <si>
    <t>Former les jeunes femmes et hommes sur les processus et procédures de participation au fonctionnement des organes décentralisés (Mairie, conseil régional)</t>
  </si>
  <si>
    <t>Total Produit 1.2</t>
  </si>
  <si>
    <t>Produit 1.3: La gouvernance locale, l’Etat de droit et la cohésion sociale est améliorée à N’Djamena et dans la région du Lac par des instances de dialogues communautaires qui fonctionnent de manière participative, inclusive et dans le respect de l’équité et des droits fondamentaux de l’homme</t>
  </si>
  <si>
    <t>Activite 1.3.1:</t>
  </si>
  <si>
    <t>Appuyer le plaidoyer auprès des leaders traditionnels et religieux pour l’inclusion des jeunes femmes,       hommes, déplacés internes aux mécanismes de gouvernance locale</t>
  </si>
  <si>
    <t>Activite 1.3.2:</t>
  </si>
  <si>
    <t>Former les leaders traditionnels, religieux et les forces de l'ordre et de sur la prévention, la résolution pacifique des conflits, l’écocitoyenneté, la gestion participative et rationnelle et équitable des ressources foncières.</t>
  </si>
  <si>
    <t>Activite 1.3.3:</t>
  </si>
  <si>
    <t>Mise en place des plateformes de dialogue et d’échange entre leaders/autorités et associations des femmes et des jeunes</t>
  </si>
  <si>
    <t>Activite 1.3.4:</t>
  </si>
  <si>
    <t>Appui à la tenue des audiences foraines en matière de délivrance des actes de naissance pour promouvoir le droit à la nationalité</t>
  </si>
  <si>
    <t>Total Produit 1.3</t>
  </si>
  <si>
    <t>TOTAL $ pour Resultat 1:</t>
  </si>
  <si>
    <t>Resultat 2: Les autorités, les acteurs locaux et la communauté en général (20.0000 bénéficiaires), les jeunes femmes et hommes, les femmes sont sensibilisés et mieux outillées pour être les agents catalyseurs de la culture de paix, la résolution pacifique des conflits intercommunautaires, le brassage intercommunautaire et la consolidation de la paix.</t>
  </si>
  <si>
    <t>Produit 2.1: Les acteurs locaux, les jeunes femmes et des hommes, les femmes ont des compétences davantage accrues pour promouvoir un dialogue constructif, une participation inclusive aux mécanismes de gouvernance locale, de prévention et de résolution de conflits.</t>
  </si>
  <si>
    <t>Activite 2.1.1:</t>
  </si>
  <si>
    <t>Appuyer la redynamisation et/ou la mise en place des clubs des jeunes « acteurs de la paix  et comite de paix dans  les différents centres de lecture et d’animation culturelle  et lycees, les jeunes leders des partis politiques</t>
  </si>
  <si>
    <t>Activite 2.1.2:</t>
  </si>
  <si>
    <t>Renforcer les capacités des enseignants, des membres des associations des parents d’élèves (APE) et associations des mères des élèves (AME) à promouvoir les principes de coexistence pacifique et de justice, à travers leur formation en Peacebuilding et les compétences de vie courante</t>
  </si>
  <si>
    <t>Activite 2.1.3:</t>
  </si>
  <si>
    <t>Appuyer la mise en place des Réseaux Communautaires de Protection des jeunes hommes et femmes pour la promotion des droits humains et la cohabitation pacifique.</t>
  </si>
  <si>
    <t>Activite 2.1.4</t>
  </si>
  <si>
    <t xml:space="preserve"> Appui au dialogue intergenerationnel sur l'egalite du genre et la consolidation de la paix, la masculinite et le leadership ( debats radio, atelier sur le mentorat, partage d'experience entre les organisations des hommes et jeunes</t>
  </si>
  <si>
    <t>Total Produit 2.1</t>
  </si>
  <si>
    <t>Produit 2.2: Les jeunes femmes et hommes, les femmes ainsi que les autres acteurs communautaires sensibilisés promeuvent et contribuent à la résolution pacifique des conflits intercommunautaire, le brassage intercommunautaire en vue de la consolidation de la paix et affirment leur leadership</t>
  </si>
  <si>
    <t>Activite 2.2.1:</t>
  </si>
  <si>
    <t>Formation sur les droits des femmes, les masulinites et genre  au benefice des groupes cibles: autorites locales, enseignants, directeurs de lycees et universites, lycees et associations des parents, organisations des jeunes, des femmes et hommes et leaders religieux</t>
  </si>
  <si>
    <t>Activite 2.2.2:</t>
  </si>
  <si>
    <t>Organisation d'activites culturelles  et sportives avec les jeunes filles et garcons pour la promotion de la paix ( theatre, concours d'illustration, recit et ou reprographie</t>
  </si>
  <si>
    <t>Activite 2.2.3:</t>
  </si>
  <si>
    <t>Formation des jeunes hommes et femmes au metiers pour leur insertion socio-economique</t>
  </si>
  <si>
    <t>Activite 2.2.4:</t>
  </si>
  <si>
    <t>Developpement des activites generatrices des revenus avec les associations des jeunes hommes et des jeunes femmes</t>
  </si>
  <si>
    <t>Total Produit 2.2</t>
  </si>
  <si>
    <t>TOTAL $ pour Resultat 2:</t>
  </si>
  <si>
    <t>Résultat 3- La coordination et communication autour du portefeuille PBF facilite l’atteinte des résultats attendus, à travers une orientation stratégique et un cadre de suivi et évaluation renforcés.</t>
  </si>
  <si>
    <t>Produit 3.1 : L’unité de coordination du Fonds est opérationnelle et les partenaires nationaux, partenaires d’exécution et les bénéficiaires sont mieux familiarisés avec les acquis des projets PBF</t>
  </si>
  <si>
    <t xml:space="preserve">Recrutement d'un Staff International P3 et d'un VNU national M&amp;E/communication, chauffeur, equipement de bureau </t>
  </si>
  <si>
    <t>Produit 3.2 : Le suivi et l’évaluation du portefeuille PBF est efficace et facilite l’atteinte des résultats attendus des interventions financés par le PBF.</t>
  </si>
  <si>
    <t xml:space="preserve">Suivi-évaluation </t>
  </si>
  <si>
    <t xml:space="preserve">Produit 3.3 : Une communication efficace est assurée autour des résultats obtenus par les projets et la visibilité de PBF est assurée au Tchad auprès des bailleurs de fonds, des bénéficiaires et des partenaires techniques et financiers. </t>
  </si>
  <si>
    <t>Activite 3.3.3</t>
  </si>
  <si>
    <t>Communication PBF</t>
  </si>
  <si>
    <t>Total Produit 3</t>
  </si>
  <si>
    <t>Cout de personnel du projet si pas inclus dans les activites si-dessus</t>
  </si>
  <si>
    <t>1 staff NOB C4D Education
1 staff C4D NOB Com Strat
1 staff NOB Protection
1 staff GS5 Assistant administratif</t>
  </si>
  <si>
    <t>Couts operationnels si pas inclus dans les activites si-dessus</t>
  </si>
  <si>
    <t xml:space="preserve">Equipements et achats </t>
  </si>
  <si>
    <t>Budget S&amp;E du projet</t>
  </si>
  <si>
    <t xml:space="preserve">Mission de suivi-Evaluation et Evaluation finale du projet </t>
  </si>
  <si>
    <t>Communication</t>
  </si>
  <si>
    <t xml:space="preserve">SOUS TOTAL DU BUDGET DE PROJET:  </t>
  </si>
  <si>
    <t>N/A</t>
  </si>
  <si>
    <t>Couts indirects (7%):</t>
  </si>
  <si>
    <t xml:space="preserve">BUDGET TOTAL DU PROJET:  </t>
  </si>
  <si>
    <t>CATEGORIES</t>
  </si>
  <si>
    <t>OHCHR</t>
  </si>
  <si>
    <t>Total tranche 1</t>
  </si>
  <si>
    <t>Total tranche 2</t>
  </si>
  <si>
    <t xml:space="preserve"> TOTAL PROJET</t>
  </si>
  <si>
    <t>Depenses/engagements</t>
  </si>
  <si>
    <t>Tranche 1
(70%)
Pro Doc</t>
  </si>
  <si>
    <t>Tranche 1 (70%)
Révision</t>
  </si>
  <si>
    <t>Tranche 2 (30%) 
Pro Doc</t>
  </si>
  <si>
    <t>Tranche 2 (30%)
Révision</t>
  </si>
  <si>
    <t>TOTAL (T1+T2)
Pro Doc</t>
  </si>
  <si>
    <t>Total 
(T1 +T2)
Révision</t>
  </si>
  <si>
    <t>Tranche 1 (70%)     Pro Doc</t>
  </si>
  <si>
    <t>Tranche 2 (30%)     Pro Doc</t>
  </si>
  <si>
    <t>Tranche 1 (70%)</t>
  </si>
  <si>
    <t>Tranche 2 (30%)</t>
  </si>
  <si>
    <t>Tranche 1 (70%)          Pro Doc</t>
  </si>
  <si>
    <t>TOTAL</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</si>
  <si>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</si>
  <si>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</si>
  <si>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</si>
  <si>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</si>
  <si>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</si>
  <si>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</si>
  <si>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</si>
  <si>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</si>
  <si>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</si>
  <si>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Activite 3.1.1:</t>
  </si>
  <si>
    <t>Activite 3.1.2:</t>
  </si>
  <si>
    <t>Réunions du PBF au Tchad</t>
  </si>
  <si>
    <t>Activite 3.2.1</t>
  </si>
  <si>
    <t>Activite 3.2.2:</t>
  </si>
  <si>
    <t>Mission de haut niveau du PBF</t>
  </si>
  <si>
    <t xml:space="preserve">PAM </t>
  </si>
  <si>
    <t>Niveau de dépense actuel  HCDH   (Mai 2022)</t>
  </si>
  <si>
    <t>Niveau de dépense actuel UNICEF (Mai 2022)</t>
  </si>
  <si>
    <t>Niveau de dépense actuel PNUD (Mai 2022)</t>
  </si>
  <si>
    <r>
      <t>Niveau de dépense actuel PAM (Mai 2022</t>
    </r>
    <r>
      <rPr>
        <b/>
        <sz val="11"/>
        <rFont val="Times New Roman"/>
        <family val="1"/>
      </rPr>
      <t>)</t>
    </r>
  </si>
  <si>
    <t>Cout indirect</t>
  </si>
  <si>
    <t xml:space="preserve">Evaluation finale du projet </t>
  </si>
  <si>
    <t>Total</t>
  </si>
  <si>
    <t>Salaire</t>
  </si>
  <si>
    <t>2, 3 et 4</t>
  </si>
  <si>
    <t>Balance actuelle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</si>
</sst>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0\ &quot;€&quot;_-;\-* #,##0.00\ &quot;€&quot;_-;_-* &quot;-&quot;??\ &quot;€&quot;_-;_-@_-"/>
    <numFmt numFmtId="166" formatCode="_-* #,##0.00\ _€_-;\-* #,##0.00\ _€_-;_-* &quot;-&quot;??\ _€_-;_-@_-"/>
    <numFmt numFmtId="167" formatCode="&quot;$&quot;#,##0.00"/>
    <numFmt numFmtId="168" formatCode="_-[$$-409]* #,##0_ ;_-[$$-409]* \-#,##0\ ;_-[$$-409]* &quot;-&quot;_ ;_-@_ "/>
    <numFmt numFmtId="169" formatCode="_([$$-409]* #,##0.00_);_([$$-409]* \(#,##0.00\);_([$$-409]* &quot;-&quot;??_);_(@_)"/>
    <numFmt numFmtId="170" formatCode="[$$-409]#,##0"/>
    <numFmt numFmtId="171" formatCode="[$$-409]#,##0.00"/>
  </numFmts>
  <fonts count="26" x14ac:knownFonts="1">
    <font>
      <sz val="11"/>
      <color theme="1"/>
      <name val="Calibri"/>
      <family val="2"/>
      <scheme val="minor"/>
    </font>
    <font>
      <b/>
      <sz val="11"/>
      <name val="Times New Roman"/>
      <family val="1"/>
    </font>
    <font>
      <sz val="8"/>
      <name val="Calibri"/>
      <family val="2"/>
    </font>
    <font>
      <sz val="9"/>
      <name val="Times New Roman"/>
      <family val="1"/>
    </font>
    <font>
      <b/>
      <sz val="9"/>
      <name val="Times New Roman"/>
      <family val="1"/>
    </font>
    <font>
      <sz val="9"/>
      <color indexed="81"/>
      <name val="Tahoma"/>
      <family val="2"/>
    </font>
    <font>
      <b/>
      <sz val="9"/>
      <color indexed="81"/>
      <name val="Tahoma"/>
      <family val="2"/>
    </font>
    <font>
      <sz val="11"/>
      <name val="Times New Roman"/>
      <family val="1"/>
    </font>
    <font>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1"/>
      <color theme="1"/>
      <name val="Times New Roman"/>
      <family val="1"/>
    </font>
    <font>
      <b/>
      <sz val="11"/>
      <color theme="1"/>
      <name val="Times New Roman"/>
      <family val="1"/>
    </font>
    <font>
      <sz val="9"/>
      <color theme="1"/>
      <name val="Times New Roman"/>
      <family val="1"/>
    </font>
    <font>
      <sz val="9"/>
      <color rgb="FFFF0000"/>
      <name val="Times New Roman"/>
      <family val="1"/>
    </font>
    <font>
      <b/>
      <sz val="11"/>
      <color rgb="FFFF0000"/>
      <name val="Times New Roman"/>
      <family val="1"/>
    </font>
    <font>
      <b/>
      <sz val="16"/>
      <color theme="1"/>
      <name val="Times New Roman"/>
      <family val="1"/>
    </font>
    <font>
      <b/>
      <sz val="12"/>
      <color theme="1"/>
      <name val="Times New Roman"/>
      <family val="1"/>
    </font>
    <font>
      <b/>
      <sz val="9"/>
      <color theme="1"/>
      <name val="Times New Roman"/>
      <family val="1"/>
    </font>
    <font>
      <b/>
      <sz val="9"/>
      <color rgb="FFFF0000"/>
      <name val="Times New Roman"/>
      <family val="1"/>
    </font>
    <font>
      <sz val="11"/>
      <color rgb="FFFF0000"/>
      <name val="Times New Roman"/>
      <family val="1"/>
    </font>
    <font>
      <sz val="11"/>
      <name val="Calibri"/>
      <family val="2"/>
    </font>
    <font>
      <sz val="12"/>
      <color theme="1"/>
      <name val="Times New Roman"/>
      <family val="1"/>
    </font>
    <font>
      <sz val="12"/>
      <name val="Times New Roman"/>
      <family val="1"/>
    </font>
    <font>
      <sz val="10"/>
      <name val="Times New Roman"/>
      <family val="1"/>
    </font>
  </fonts>
  <fills count="2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B3B3B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2"/>
        <bgColor indexed="64"/>
      </patternFill>
    </fill>
    <fill>
      <patternFill patternType="solid">
        <fgColor theme="6" tint="0.59999389629810485"/>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166"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cellStyleXfs>
  <cellXfs count="267">
    <xf numFmtId="0" fontId="0" fillId="0" borderId="0" xfId="0"/>
    <xf numFmtId="0" fontId="12" fillId="2" borderId="1"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3" fillId="10" borderId="13" xfId="0" applyFont="1" applyFill="1" applyBorder="1" applyAlignment="1">
      <alignment horizontal="center" vertical="top" wrapText="1"/>
    </xf>
    <xf numFmtId="0" fontId="13" fillId="11" borderId="13" xfId="0" applyFont="1" applyFill="1" applyBorder="1" applyAlignment="1">
      <alignment horizontal="center" vertical="top" wrapText="1"/>
    </xf>
    <xf numFmtId="0" fontId="13" fillId="9" borderId="13" xfId="0" applyFont="1" applyFill="1" applyBorder="1" applyAlignment="1">
      <alignment horizontal="center" vertical="top" wrapText="1"/>
    </xf>
    <xf numFmtId="0" fontId="12" fillId="0" borderId="14" xfId="0" applyFont="1" applyBorder="1" applyAlignment="1">
      <alignment horizontal="center" vertical="top" wrapText="1"/>
    </xf>
    <xf numFmtId="0" fontId="12" fillId="2" borderId="7" xfId="0" applyFont="1" applyFill="1" applyBorder="1" applyAlignment="1">
      <alignment horizontal="left" vertical="top" wrapText="1"/>
    </xf>
    <xf numFmtId="0" fontId="7" fillId="2" borderId="1"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0" fillId="0" borderId="0" xfId="0" applyFont="1" applyAlignment="1">
      <alignment horizontal="left" vertical="top"/>
    </xf>
    <xf numFmtId="3" fontId="0" fillId="2" borderId="0" xfId="0" applyNumberFormat="1" applyFont="1" applyFill="1" applyAlignment="1">
      <alignment horizontal="left" vertical="top"/>
    </xf>
    <xf numFmtId="0" fontId="0" fillId="2" borderId="0" xfId="0" applyFont="1" applyFill="1" applyAlignment="1">
      <alignment horizontal="left" vertical="top"/>
    </xf>
    <xf numFmtId="0" fontId="0" fillId="12" borderId="0" xfId="0" applyFont="1" applyFill="1" applyAlignment="1">
      <alignment horizontal="left" vertical="top"/>
    </xf>
    <xf numFmtId="0" fontId="7" fillId="2" borderId="7"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0" fillId="0" borderId="0" xfId="0" applyFont="1" applyFill="1" applyAlignment="1">
      <alignment horizontal="left" vertical="top"/>
    </xf>
    <xf numFmtId="0" fontId="0" fillId="9" borderId="0" xfId="0" applyFont="1" applyFill="1" applyAlignment="1">
      <alignment horizontal="left" vertical="top"/>
    </xf>
    <xf numFmtId="0" fontId="0" fillId="13" borderId="0" xfId="0" applyFont="1" applyFill="1" applyAlignment="1">
      <alignment horizontal="left" vertical="top"/>
    </xf>
    <xf numFmtId="0" fontId="13"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169" fontId="0" fillId="0" borderId="0" xfId="0" applyNumberFormat="1" applyFont="1" applyAlignment="1">
      <alignment horizontal="left" vertical="top"/>
    </xf>
    <xf numFmtId="0" fontId="13" fillId="6" borderId="9" xfId="0" applyFont="1" applyFill="1" applyBorder="1" applyAlignment="1">
      <alignment horizontal="left" vertical="top" wrapText="1"/>
    </xf>
    <xf numFmtId="166" fontId="9" fillId="0" borderId="0" xfId="1" applyFont="1" applyAlignment="1">
      <alignment horizontal="left" vertical="top"/>
    </xf>
    <xf numFmtId="169" fontId="0" fillId="0" borderId="0" xfId="0" applyNumberForma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12" fillId="0" borderId="0" xfId="0" applyFont="1" applyAlignment="1">
      <alignment horizontal="left" vertical="top"/>
    </xf>
    <xf numFmtId="9" fontId="12" fillId="2" borderId="1" xfId="3" applyNumberFormat="1" applyFont="1" applyFill="1" applyBorder="1" applyAlignment="1">
      <alignment horizontal="right" vertical="top" wrapText="1"/>
    </xf>
    <xf numFmtId="9" fontId="7" fillId="2" borderId="1" xfId="3" applyNumberFormat="1" applyFont="1" applyFill="1" applyBorder="1" applyAlignment="1">
      <alignment horizontal="right" vertical="top" wrapText="1"/>
    </xf>
    <xf numFmtId="0" fontId="13" fillId="6" borderId="1" xfId="0" applyFont="1" applyFill="1" applyBorder="1" applyAlignment="1">
      <alignment horizontal="right" vertical="top" wrapText="1"/>
    </xf>
    <xf numFmtId="0" fontId="12" fillId="6" borderId="1" xfId="0" applyFont="1" applyFill="1" applyBorder="1" applyAlignment="1">
      <alignment horizontal="right" vertical="top" wrapText="1"/>
    </xf>
    <xf numFmtId="0" fontId="13" fillId="6" borderId="10" xfId="0" applyFont="1" applyFill="1" applyBorder="1" applyAlignment="1">
      <alignment horizontal="right" vertical="top" wrapText="1"/>
    </xf>
    <xf numFmtId="9" fontId="12" fillId="14" borderId="1" xfId="0" applyNumberFormat="1" applyFont="1" applyFill="1" applyBorder="1" applyAlignment="1">
      <alignment horizontal="right" vertical="top" wrapText="1"/>
    </xf>
    <xf numFmtId="170" fontId="12" fillId="2" borderId="1" xfId="2" applyNumberFormat="1" applyFont="1" applyFill="1" applyBorder="1" applyAlignment="1">
      <alignment horizontal="right" vertical="top" wrapText="1"/>
    </xf>
    <xf numFmtId="170" fontId="12" fillId="0" borderId="1" xfId="0" applyNumberFormat="1" applyFont="1" applyBorder="1" applyAlignment="1">
      <alignment horizontal="right" vertical="top" wrapText="1"/>
    </xf>
    <xf numFmtId="170" fontId="12" fillId="9" borderId="1" xfId="0" applyNumberFormat="1" applyFont="1" applyFill="1" applyBorder="1" applyAlignment="1">
      <alignment horizontal="right" vertical="top" wrapText="1"/>
    </xf>
    <xf numFmtId="170" fontId="1" fillId="3" borderId="1" xfId="0" applyNumberFormat="1" applyFont="1" applyFill="1" applyBorder="1" applyAlignment="1">
      <alignment horizontal="left" vertical="top" wrapText="1"/>
    </xf>
    <xf numFmtId="170" fontId="1" fillId="3" borderId="1" xfId="0" applyNumberFormat="1" applyFont="1" applyFill="1" applyBorder="1" applyAlignment="1">
      <alignment horizontal="right" vertical="top" wrapText="1"/>
    </xf>
    <xf numFmtId="170" fontId="7" fillId="2" borderId="1" xfId="2" applyNumberFormat="1" applyFont="1" applyFill="1" applyBorder="1" applyAlignment="1">
      <alignment horizontal="right" vertical="top" wrapText="1"/>
    </xf>
    <xf numFmtId="170" fontId="7" fillId="9" borderId="1" xfId="0" applyNumberFormat="1" applyFont="1" applyFill="1" applyBorder="1" applyAlignment="1">
      <alignment horizontal="right" vertical="top" wrapText="1"/>
    </xf>
    <xf numFmtId="170" fontId="1" fillId="3" borderId="1" xfId="0" applyNumberFormat="1" applyFont="1" applyFill="1" applyBorder="1" applyAlignment="1">
      <alignment vertical="top" wrapText="1"/>
    </xf>
    <xf numFmtId="170" fontId="12" fillId="14" borderId="1" xfId="0" applyNumberFormat="1" applyFont="1" applyFill="1" applyBorder="1" applyAlignment="1">
      <alignment horizontal="right" vertical="top" wrapText="1"/>
    </xf>
    <xf numFmtId="170" fontId="13" fillId="6" borderId="1" xfId="0" applyNumberFormat="1" applyFont="1" applyFill="1" applyBorder="1" applyAlignment="1">
      <alignment horizontal="right" vertical="top" wrapText="1"/>
    </xf>
    <xf numFmtId="170" fontId="13" fillId="6" borderId="10" xfId="0" applyNumberFormat="1" applyFont="1" applyFill="1" applyBorder="1" applyAlignment="1">
      <alignment horizontal="right" vertical="top" wrapText="1"/>
    </xf>
    <xf numFmtId="170" fontId="12" fillId="2" borderId="1" xfId="0" applyNumberFormat="1" applyFont="1" applyFill="1" applyBorder="1" applyAlignment="1">
      <alignment horizontal="right" vertical="top" wrapText="1"/>
    </xf>
    <xf numFmtId="170" fontId="13" fillId="2" borderId="1" xfId="0" applyNumberFormat="1" applyFont="1" applyFill="1" applyBorder="1" applyAlignment="1">
      <alignment horizontal="right" vertical="top" wrapText="1"/>
    </xf>
    <xf numFmtId="0" fontId="18"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9" fillId="4" borderId="10" xfId="0" applyFont="1" applyFill="1" applyBorder="1" applyAlignment="1">
      <alignment horizontal="center" vertical="top" wrapText="1"/>
    </xf>
    <xf numFmtId="0" fontId="20" fillId="9" borderId="10" xfId="0" applyFont="1" applyFill="1" applyBorder="1" applyAlignment="1">
      <alignment horizontal="center" vertical="top" wrapText="1"/>
    </xf>
    <xf numFmtId="0" fontId="13" fillId="8" borderId="10" xfId="0" applyFont="1" applyFill="1" applyBorder="1" applyAlignment="1">
      <alignment horizontal="center" vertical="top"/>
    </xf>
    <xf numFmtId="0" fontId="13" fillId="8" borderId="11" xfId="0" applyFont="1" applyFill="1" applyBorder="1" applyAlignment="1">
      <alignment horizontal="center" vertical="top"/>
    </xf>
    <xf numFmtId="0" fontId="14" fillId="0" borderId="15" xfId="0" applyFont="1" applyBorder="1" applyAlignment="1">
      <alignment vertical="top" wrapText="1"/>
    </xf>
    <xf numFmtId="170" fontId="3" fillId="0" borderId="3" xfId="0" applyNumberFormat="1" applyFont="1" applyBorder="1" applyAlignment="1">
      <alignment horizontal="right" vertical="top" wrapText="1"/>
    </xf>
    <xf numFmtId="170" fontId="15" fillId="9" borderId="3" xfId="0" applyNumberFormat="1" applyFont="1" applyFill="1" applyBorder="1" applyAlignment="1">
      <alignment horizontal="right" vertical="top" wrapText="1"/>
    </xf>
    <xf numFmtId="170" fontId="14" fillId="0" borderId="3" xfId="0" applyNumberFormat="1" applyFont="1" applyBorder="1" applyAlignment="1">
      <alignment horizontal="right" vertical="top" wrapText="1"/>
    </xf>
    <xf numFmtId="0" fontId="14" fillId="0" borderId="7" xfId="0" applyFont="1" applyBorder="1" applyAlignment="1">
      <alignment vertical="top" wrapText="1"/>
    </xf>
    <xf numFmtId="170" fontId="3" fillId="0" borderId="1" xfId="0" applyNumberFormat="1" applyFont="1" applyBorder="1" applyAlignment="1">
      <alignment horizontal="right" vertical="top" wrapText="1"/>
    </xf>
    <xf numFmtId="170" fontId="15" fillId="9" borderId="1" xfId="0" applyNumberFormat="1" applyFont="1" applyFill="1" applyBorder="1" applyAlignment="1">
      <alignment horizontal="right" vertical="top" wrapText="1"/>
    </xf>
    <xf numFmtId="170" fontId="3" fillId="9" borderId="1" xfId="0" applyNumberFormat="1" applyFont="1" applyFill="1" applyBorder="1" applyAlignment="1">
      <alignment horizontal="right" vertical="top" wrapText="1"/>
    </xf>
    <xf numFmtId="170" fontId="14" fillId="0" borderId="1" xfId="0" applyNumberFormat="1" applyFont="1" applyBorder="1" applyAlignment="1">
      <alignment horizontal="right" vertical="top"/>
    </xf>
    <xf numFmtId="170" fontId="3" fillId="0" borderId="2" xfId="0" applyNumberFormat="1" applyFont="1" applyBorder="1" applyAlignment="1">
      <alignment horizontal="right" vertical="top" wrapText="1"/>
    </xf>
    <xf numFmtId="170" fontId="15" fillId="9" borderId="2" xfId="0" applyNumberFormat="1" applyFont="1" applyFill="1" applyBorder="1" applyAlignment="1">
      <alignment horizontal="right" vertical="top" wrapText="1"/>
    </xf>
    <xf numFmtId="0" fontId="19" fillId="5" borderId="17" xfId="0" applyFont="1" applyFill="1" applyBorder="1" applyAlignment="1">
      <alignment vertical="top" wrapText="1"/>
    </xf>
    <xf numFmtId="170" fontId="4" fillId="5" borderId="18" xfId="0" applyNumberFormat="1" applyFont="1" applyFill="1" applyBorder="1" applyAlignment="1">
      <alignment horizontal="right" vertical="top" wrapText="1"/>
    </xf>
    <xf numFmtId="170" fontId="4" fillId="9" borderId="18" xfId="0" applyNumberFormat="1" applyFont="1" applyFill="1" applyBorder="1" applyAlignment="1">
      <alignment horizontal="right" vertical="top" wrapText="1"/>
    </xf>
    <xf numFmtId="170" fontId="14" fillId="6" borderId="18" xfId="0" applyNumberFormat="1" applyFont="1" applyFill="1" applyBorder="1" applyAlignment="1">
      <alignment horizontal="right" vertical="top"/>
    </xf>
    <xf numFmtId="170" fontId="3" fillId="9" borderId="3" xfId="0" applyNumberFormat="1" applyFont="1" applyFill="1" applyBorder="1" applyAlignment="1">
      <alignment horizontal="right" vertical="top" wrapText="1"/>
    </xf>
    <xf numFmtId="0" fontId="19" fillId="5" borderId="9" xfId="0" applyFont="1" applyFill="1" applyBorder="1" applyAlignment="1">
      <alignment vertical="top" wrapText="1"/>
    </xf>
    <xf numFmtId="170" fontId="19" fillId="5" borderId="10" xfId="0" applyNumberFormat="1" applyFont="1" applyFill="1" applyBorder="1" applyAlignment="1">
      <alignment horizontal="right" vertical="top" wrapText="1"/>
    </xf>
    <xf numFmtId="170" fontId="4" fillId="9" borderId="10" xfId="0" applyNumberFormat="1" applyFont="1" applyFill="1" applyBorder="1" applyAlignment="1">
      <alignment horizontal="right" vertical="top" wrapText="1"/>
    </xf>
    <xf numFmtId="170" fontId="4" fillId="5" borderId="10" xfId="0" applyNumberFormat="1" applyFont="1" applyFill="1" applyBorder="1" applyAlignment="1">
      <alignment horizontal="right" vertical="top" wrapText="1"/>
    </xf>
    <xf numFmtId="170" fontId="14" fillId="6" borderId="10" xfId="0" applyNumberFormat="1" applyFont="1" applyFill="1" applyBorder="1" applyAlignment="1">
      <alignment horizontal="right" vertical="top"/>
    </xf>
    <xf numFmtId="167" fontId="12" fillId="0" borderId="0" xfId="0" applyNumberFormat="1" applyFont="1" applyAlignment="1">
      <alignment vertical="top"/>
    </xf>
    <xf numFmtId="168" fontId="12" fillId="0" borderId="0" xfId="0" applyNumberFormat="1" applyFont="1" applyAlignment="1">
      <alignment vertical="top"/>
    </xf>
    <xf numFmtId="10" fontId="12" fillId="0" borderId="0" xfId="3" applyNumberFormat="1" applyFont="1" applyAlignment="1">
      <alignment vertical="top"/>
    </xf>
    <xf numFmtId="166" fontId="12" fillId="0" borderId="0" xfId="1" applyFont="1" applyAlignment="1">
      <alignment vertical="top"/>
    </xf>
    <xf numFmtId="170" fontId="14" fillId="0" borderId="3" xfId="0" applyNumberFormat="1" applyFont="1" applyBorder="1" applyAlignment="1">
      <alignment horizontal="right" vertical="top"/>
    </xf>
    <xf numFmtId="170" fontId="14" fillId="0" borderId="2" xfId="0" applyNumberFormat="1" applyFont="1" applyBorder="1" applyAlignment="1">
      <alignment horizontal="right" vertical="top"/>
    </xf>
    <xf numFmtId="10" fontId="0" fillId="0" borderId="0" xfId="3" applyNumberFormat="1" applyFont="1" applyAlignment="1">
      <alignment horizontal="left" vertical="top"/>
    </xf>
    <xf numFmtId="0" fontId="0" fillId="16" borderId="0" xfId="0" applyFill="1" applyAlignment="1">
      <alignment horizontal="left" vertical="top"/>
    </xf>
    <xf numFmtId="170" fontId="12" fillId="16" borderId="1" xfId="0" applyNumberFormat="1" applyFont="1" applyFill="1" applyBorder="1" applyAlignment="1">
      <alignment horizontal="right" vertical="top" wrapText="1"/>
    </xf>
    <xf numFmtId="171" fontId="12" fillId="0" borderId="0" xfId="0" applyNumberFormat="1" applyFont="1" applyAlignment="1">
      <alignment vertical="top"/>
    </xf>
    <xf numFmtId="170" fontId="14" fillId="9" borderId="3" xfId="0" applyNumberFormat="1" applyFont="1" applyFill="1" applyBorder="1" applyAlignment="1">
      <alignment horizontal="right" vertical="top"/>
    </xf>
    <xf numFmtId="170" fontId="15" fillId="9" borderId="3" xfId="0" applyNumberFormat="1" applyFont="1" applyFill="1" applyBorder="1" applyAlignment="1">
      <alignment horizontal="right" vertical="top"/>
    </xf>
    <xf numFmtId="170" fontId="15" fillId="9" borderId="1" xfId="0" applyNumberFormat="1" applyFont="1" applyFill="1" applyBorder="1" applyAlignment="1">
      <alignment horizontal="right" vertical="top"/>
    </xf>
    <xf numFmtId="170" fontId="15" fillId="9" borderId="2" xfId="0" applyNumberFormat="1" applyFont="1" applyFill="1" applyBorder="1" applyAlignment="1">
      <alignment horizontal="right" vertical="top"/>
    </xf>
    <xf numFmtId="170" fontId="19" fillId="9" borderId="18" xfId="0" applyNumberFormat="1" applyFont="1" applyFill="1" applyBorder="1" applyAlignment="1">
      <alignment horizontal="right" vertical="top"/>
    </xf>
    <xf numFmtId="170" fontId="19" fillId="9" borderId="10" xfId="0" applyNumberFormat="1" applyFont="1" applyFill="1" applyBorder="1" applyAlignment="1">
      <alignment horizontal="right" vertical="top"/>
    </xf>
    <xf numFmtId="170" fontId="19" fillId="6" borderId="10" xfId="0" applyNumberFormat="1" applyFont="1" applyFill="1" applyBorder="1" applyAlignment="1">
      <alignment horizontal="right" vertical="top"/>
    </xf>
    <xf numFmtId="170" fontId="7" fillId="2" borderId="1" xfId="0" applyNumberFormat="1" applyFont="1" applyFill="1" applyBorder="1" applyAlignment="1">
      <alignment horizontal="right" vertical="top" wrapText="1"/>
    </xf>
    <xf numFmtId="0" fontId="21" fillId="6" borderId="11" xfId="0" applyFont="1" applyFill="1" applyBorder="1" applyAlignment="1">
      <alignment horizontal="left" vertical="top" wrapText="1"/>
    </xf>
    <xf numFmtId="0" fontId="0" fillId="2" borderId="0" xfId="0" applyFill="1" applyAlignment="1">
      <alignment horizontal="left" vertical="top"/>
    </xf>
    <xf numFmtId="0" fontId="13" fillId="18" borderId="13" xfId="0" applyFont="1" applyFill="1" applyBorder="1" applyAlignment="1">
      <alignment horizontal="center" vertical="top" wrapText="1"/>
    </xf>
    <xf numFmtId="171" fontId="12" fillId="2" borderId="1" xfId="0" applyNumberFormat="1" applyFont="1" applyFill="1" applyBorder="1" applyAlignment="1">
      <alignment horizontal="right" vertical="top" wrapText="1"/>
    </xf>
    <xf numFmtId="0" fontId="1" fillId="19" borderId="7" xfId="0" applyFont="1" applyFill="1" applyBorder="1" applyAlignment="1">
      <alignment horizontal="left" vertical="top" wrapText="1"/>
    </xf>
    <xf numFmtId="170" fontId="1" fillId="19" borderId="1" xfId="0" applyNumberFormat="1" applyFont="1" applyFill="1" applyBorder="1" applyAlignment="1">
      <alignment vertical="top" wrapText="1"/>
    </xf>
    <xf numFmtId="171" fontId="1" fillId="19" borderId="1" xfId="0" applyNumberFormat="1" applyFont="1" applyFill="1" applyBorder="1" applyAlignment="1">
      <alignment vertical="top" wrapText="1"/>
    </xf>
    <xf numFmtId="171" fontId="13" fillId="6" borderId="1" xfId="0" applyNumberFormat="1" applyFont="1" applyFill="1" applyBorder="1" applyAlignment="1">
      <alignment horizontal="right" vertical="top" wrapText="1"/>
    </xf>
    <xf numFmtId="166" fontId="12" fillId="0" borderId="0" xfId="0" applyNumberFormat="1" applyFont="1" applyAlignment="1">
      <alignment vertical="top"/>
    </xf>
    <xf numFmtId="171" fontId="21" fillId="0" borderId="0" xfId="0" applyNumberFormat="1" applyFont="1" applyAlignment="1">
      <alignment vertical="top"/>
    </xf>
    <xf numFmtId="0" fontId="12" fillId="14" borderId="8" xfId="0" applyFont="1" applyFill="1" applyBorder="1" applyAlignment="1">
      <alignment horizontal="left" vertical="top" wrapText="1"/>
    </xf>
    <xf numFmtId="0" fontId="19" fillId="7"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170" fontId="1" fillId="2" borderId="1" xfId="0" applyNumberFormat="1" applyFont="1" applyFill="1" applyBorder="1" applyAlignment="1">
      <alignment vertical="top" wrapText="1"/>
    </xf>
    <xf numFmtId="170" fontId="13" fillId="2" borderId="10" xfId="0" applyNumberFormat="1" applyFont="1" applyFill="1" applyBorder="1" applyAlignment="1">
      <alignment horizontal="right" vertical="top" wrapText="1"/>
    </xf>
    <xf numFmtId="39" fontId="22" fillId="0" borderId="0" xfId="0" applyNumberFormat="1" applyFont="1"/>
    <xf numFmtId="166" fontId="0" fillId="16" borderId="0" xfId="1" applyFont="1" applyFill="1" applyAlignment="1">
      <alignment horizontal="left" vertical="top"/>
    </xf>
    <xf numFmtId="164" fontId="0" fillId="16" borderId="0" xfId="0" applyNumberFormat="1" applyFill="1" applyAlignment="1">
      <alignment horizontal="left" vertical="top"/>
    </xf>
    <xf numFmtId="171" fontId="1" fillId="6" borderId="10" xfId="0" applyNumberFormat="1" applyFont="1" applyFill="1" applyBorder="1" applyAlignment="1">
      <alignment horizontal="right" vertical="top" wrapText="1"/>
    </xf>
    <xf numFmtId="0" fontId="13" fillId="8" borderId="10" xfId="0" applyFont="1" applyFill="1" applyBorder="1" applyAlignment="1">
      <alignment horizontal="center" vertical="top" wrapText="1"/>
    </xf>
    <xf numFmtId="166" fontId="0" fillId="0" borderId="0" xfId="1" applyFont="1" applyAlignment="1">
      <alignment horizontal="left" vertical="top"/>
    </xf>
    <xf numFmtId="171" fontId="0" fillId="0" borderId="0" xfId="0" applyNumberFormat="1" applyAlignment="1">
      <alignment horizontal="left" vertical="top"/>
    </xf>
    <xf numFmtId="164" fontId="0" fillId="0" borderId="0" xfId="0" applyNumberFormat="1" applyAlignment="1">
      <alignment horizontal="left" vertical="top"/>
    </xf>
    <xf numFmtId="170" fontId="0" fillId="0" borderId="0" xfId="0" applyNumberFormat="1" applyAlignment="1">
      <alignment horizontal="left" vertical="top"/>
    </xf>
    <xf numFmtId="170" fontId="14" fillId="0" borderId="0" xfId="0" applyNumberFormat="1" applyFont="1" applyBorder="1" applyAlignment="1">
      <alignment horizontal="right" vertical="top" wrapText="1"/>
    </xf>
    <xf numFmtId="170" fontId="14" fillId="2" borderId="0" xfId="0" applyNumberFormat="1" applyFont="1" applyFill="1" applyBorder="1" applyAlignment="1">
      <alignment horizontal="right" vertical="top" wrapText="1"/>
    </xf>
    <xf numFmtId="171" fontId="14" fillId="6" borderId="19" xfId="0" applyNumberFormat="1" applyFont="1" applyFill="1" applyBorder="1" applyAlignment="1">
      <alignment horizontal="right" vertical="top"/>
    </xf>
    <xf numFmtId="171" fontId="14" fillId="0" borderId="16" xfId="0" applyNumberFormat="1" applyFont="1" applyBorder="1" applyAlignment="1">
      <alignment horizontal="right" vertical="top"/>
    </xf>
    <xf numFmtId="171" fontId="13" fillId="9" borderId="1" xfId="0" applyNumberFormat="1" applyFont="1" applyFill="1" applyBorder="1" applyAlignment="1">
      <alignment horizontal="right" vertical="top" wrapText="1"/>
    </xf>
    <xf numFmtId="171" fontId="13" fillId="9" borderId="10" xfId="0" applyNumberFormat="1" applyFont="1" applyFill="1" applyBorder="1" applyAlignment="1">
      <alignment horizontal="right" vertical="top" wrapText="1"/>
    </xf>
    <xf numFmtId="171" fontId="14" fillId="0" borderId="16" xfId="0" applyNumberFormat="1" applyFont="1" applyBorder="1" applyAlignment="1">
      <alignment horizontal="right" vertical="top" wrapText="1"/>
    </xf>
    <xf numFmtId="171" fontId="21" fillId="0" borderId="0" xfId="3" applyNumberFormat="1" applyFont="1" applyAlignment="1">
      <alignment vertical="top"/>
    </xf>
    <xf numFmtId="2" fontId="21" fillId="0" borderId="0" xfId="3" applyNumberFormat="1" applyFont="1" applyAlignment="1">
      <alignment vertical="top"/>
    </xf>
    <xf numFmtId="9" fontId="7" fillId="0" borderId="1" xfId="3" applyFont="1" applyBorder="1" applyAlignment="1">
      <alignment horizontal="right" vertical="top" wrapText="1"/>
    </xf>
    <xf numFmtId="166" fontId="1" fillId="6" borderId="1" xfId="1" applyFont="1" applyFill="1" applyBorder="1" applyAlignment="1">
      <alignment horizontal="right" vertical="top" wrapText="1"/>
    </xf>
    <xf numFmtId="171" fontId="1" fillId="6" borderId="1" xfId="0" applyNumberFormat="1" applyFont="1" applyFill="1" applyBorder="1" applyAlignment="1">
      <alignment horizontal="right" vertical="top" wrapText="1"/>
    </xf>
    <xf numFmtId="166" fontId="1" fillId="6" borderId="10" xfId="1" applyFont="1" applyFill="1" applyBorder="1" applyAlignment="1">
      <alignment horizontal="right" vertical="top" wrapText="1"/>
    </xf>
    <xf numFmtId="9" fontId="0" fillId="0" borderId="0" xfId="3" applyFont="1" applyAlignment="1">
      <alignment horizontal="left" vertical="top"/>
    </xf>
    <xf numFmtId="171" fontId="7" fillId="2" borderId="1" xfId="0" applyNumberFormat="1" applyFont="1" applyFill="1" applyBorder="1" applyAlignment="1">
      <alignment horizontal="right" vertical="top" wrapText="1"/>
    </xf>
    <xf numFmtId="0" fontId="12" fillId="2" borderId="0" xfId="0" applyFont="1" applyFill="1" applyAlignment="1">
      <alignment vertical="top"/>
    </xf>
    <xf numFmtId="0" fontId="7" fillId="0" borderId="0" xfId="0" applyFont="1" applyAlignment="1">
      <alignment vertical="top"/>
    </xf>
    <xf numFmtId="0" fontId="1" fillId="8" borderId="10" xfId="0" applyFont="1" applyFill="1" applyBorder="1" applyAlignment="1">
      <alignment horizontal="center" vertical="top"/>
    </xf>
    <xf numFmtId="171" fontId="3" fillId="0" borderId="3" xfId="0" applyNumberFormat="1" applyFont="1" applyBorder="1" applyAlignment="1">
      <alignment horizontal="right" vertical="top" wrapText="1"/>
    </xf>
    <xf numFmtId="171" fontId="3" fillId="0" borderId="1" xfId="0" applyNumberFormat="1" applyFont="1" applyBorder="1" applyAlignment="1">
      <alignment horizontal="right" vertical="top" wrapText="1"/>
    </xf>
    <xf numFmtId="171" fontId="3" fillId="0" borderId="2" xfId="0" applyNumberFormat="1" applyFont="1" applyBorder="1" applyAlignment="1">
      <alignment horizontal="right" vertical="top" wrapText="1"/>
    </xf>
    <xf numFmtId="171" fontId="3" fillId="6" borderId="18" xfId="0" applyNumberFormat="1" applyFont="1" applyFill="1" applyBorder="1" applyAlignment="1">
      <alignment horizontal="right" vertical="top"/>
    </xf>
    <xf numFmtId="171" fontId="3" fillId="0" borderId="3" xfId="0" applyNumberFormat="1" applyFont="1" applyBorder="1" applyAlignment="1">
      <alignment horizontal="right" vertical="top"/>
    </xf>
    <xf numFmtId="167" fontId="7" fillId="0" borderId="0" xfId="0" applyNumberFormat="1" applyFont="1" applyAlignment="1">
      <alignment vertical="top"/>
    </xf>
    <xf numFmtId="166" fontId="7" fillId="0" borderId="0" xfId="1" applyNumberFormat="1" applyFont="1" applyAlignment="1">
      <alignment vertical="top"/>
    </xf>
    <xf numFmtId="171" fontId="7" fillId="0" borderId="0" xfId="3" applyNumberFormat="1" applyFont="1" applyAlignment="1">
      <alignment vertical="top"/>
    </xf>
    <xf numFmtId="171" fontId="7" fillId="0" borderId="0" xfId="0" applyNumberFormat="1" applyFont="1" applyAlignment="1">
      <alignment vertical="top"/>
    </xf>
    <xf numFmtId="171" fontId="3" fillId="2" borderId="3" xfId="0" applyNumberFormat="1" applyFont="1" applyFill="1" applyBorder="1" applyAlignment="1">
      <alignment horizontal="right" vertical="top"/>
    </xf>
    <xf numFmtId="171" fontId="4" fillId="21" borderId="10" xfId="0" applyNumberFormat="1" applyFont="1" applyFill="1" applyBorder="1" applyAlignment="1">
      <alignment horizontal="right" vertical="top"/>
    </xf>
    <xf numFmtId="171" fontId="19" fillId="21" borderId="11" xfId="0" applyNumberFormat="1" applyFont="1" applyFill="1" applyBorder="1" applyAlignment="1">
      <alignment horizontal="right" vertical="top"/>
    </xf>
    <xf numFmtId="171" fontId="7" fillId="2" borderId="1" xfId="0" applyNumberFormat="1" applyFont="1" applyFill="1" applyBorder="1" applyAlignment="1">
      <alignment vertical="top" wrapText="1"/>
    </xf>
    <xf numFmtId="170" fontId="7" fillId="2" borderId="1" xfId="0" applyNumberFormat="1" applyFont="1" applyFill="1" applyBorder="1" applyAlignment="1">
      <alignment vertical="top" wrapText="1"/>
    </xf>
    <xf numFmtId="170" fontId="23" fillId="22" borderId="1" xfId="0" applyNumberFormat="1" applyFont="1" applyFill="1" applyBorder="1" applyAlignment="1">
      <alignment horizontal="right" vertical="top" wrapText="1"/>
    </xf>
    <xf numFmtId="170" fontId="24" fillId="22" borderId="1" xfId="0" applyNumberFormat="1" applyFont="1" applyFill="1" applyBorder="1" applyAlignment="1">
      <alignment horizontal="right" vertical="top" wrapText="1"/>
    </xf>
    <xf numFmtId="170" fontId="24" fillId="22" borderId="1" xfId="0" applyNumberFormat="1" applyFont="1" applyFill="1" applyBorder="1" applyAlignment="1">
      <alignment vertical="top" wrapText="1"/>
    </xf>
    <xf numFmtId="170" fontId="24" fillId="2" borderId="1" xfId="0" applyNumberFormat="1" applyFont="1" applyFill="1" applyBorder="1" applyAlignment="1">
      <alignment horizontal="right" vertical="top" wrapText="1"/>
    </xf>
    <xf numFmtId="171" fontId="24" fillId="0" borderId="1" xfId="0" applyNumberFormat="1" applyFont="1" applyBorder="1" applyAlignment="1">
      <alignment horizontal="right" vertical="top" wrapText="1"/>
    </xf>
    <xf numFmtId="171" fontId="18" fillId="6" borderId="1" xfId="0" applyNumberFormat="1" applyFont="1" applyFill="1" applyBorder="1" applyAlignment="1">
      <alignment horizontal="right" vertical="top" wrapText="1"/>
    </xf>
    <xf numFmtId="9" fontId="7" fillId="0" borderId="8" xfId="3" applyFont="1" applyBorder="1" applyAlignment="1">
      <alignment horizontal="left" vertical="top" wrapText="1"/>
    </xf>
    <xf numFmtId="9" fontId="7" fillId="0" borderId="1" xfId="3" applyNumberFormat="1" applyFont="1" applyBorder="1" applyAlignment="1">
      <alignment horizontal="right" vertical="top" wrapText="1"/>
    </xf>
    <xf numFmtId="170" fontId="7" fillId="0" borderId="1" xfId="0" applyNumberFormat="1" applyFont="1" applyBorder="1" applyAlignment="1">
      <alignment horizontal="right" vertical="top" wrapText="1"/>
    </xf>
    <xf numFmtId="0" fontId="7" fillId="0" borderId="8" xfId="0" applyFont="1" applyBorder="1" applyAlignment="1">
      <alignment horizontal="left" vertical="top" wrapText="1"/>
    </xf>
    <xf numFmtId="9" fontId="7" fillId="0" borderId="1" xfId="0" applyNumberFormat="1" applyFont="1" applyBorder="1" applyAlignment="1">
      <alignment horizontal="right" vertical="top" wrapText="1"/>
    </xf>
    <xf numFmtId="0" fontId="1" fillId="3" borderId="7" xfId="0" applyFont="1" applyFill="1" applyBorder="1" applyAlignment="1">
      <alignment horizontal="left" vertical="top" wrapText="1"/>
    </xf>
    <xf numFmtId="170" fontId="1" fillId="3" borderId="1" xfId="2" applyNumberFormat="1" applyFont="1" applyFill="1" applyBorder="1" applyAlignment="1">
      <alignment horizontal="right" vertical="top" wrapText="1"/>
    </xf>
    <xf numFmtId="170" fontId="1" fillId="2" borderId="1" xfId="2" applyNumberFormat="1" applyFont="1" applyFill="1" applyBorder="1" applyAlignment="1">
      <alignment horizontal="right" vertical="top" wrapText="1"/>
    </xf>
    <xf numFmtId="0" fontId="1" fillId="3" borderId="1" xfId="0" applyFont="1" applyFill="1" applyBorder="1" applyAlignment="1">
      <alignment horizontal="right" vertical="top" wrapText="1"/>
    </xf>
    <xf numFmtId="171" fontId="1" fillId="3" borderId="1" xfId="2" applyNumberFormat="1" applyFont="1" applyFill="1" applyBorder="1" applyAlignment="1">
      <alignment horizontal="right" vertical="top" wrapText="1"/>
    </xf>
    <xf numFmtId="170" fontId="1" fillId="9" borderId="1" xfId="0" applyNumberFormat="1" applyFont="1" applyFill="1" applyBorder="1" applyAlignment="1">
      <alignment horizontal="right" vertical="top" wrapText="1"/>
    </xf>
    <xf numFmtId="0" fontId="7" fillId="3" borderId="8" xfId="0" applyFont="1" applyFill="1" applyBorder="1" applyAlignment="1">
      <alignment horizontal="left" vertical="top" wrapText="1"/>
    </xf>
    <xf numFmtId="170" fontId="7" fillId="2" borderId="1" xfId="2" applyNumberFormat="1" applyFont="1" applyFill="1" applyBorder="1" applyAlignment="1">
      <alignment vertical="top" wrapText="1"/>
    </xf>
    <xf numFmtId="170" fontId="7" fillId="0" borderId="1" xfId="0" applyNumberFormat="1" applyFont="1" applyBorder="1" applyAlignment="1">
      <alignment vertical="top" wrapText="1"/>
    </xf>
    <xf numFmtId="9" fontId="7" fillId="0" borderId="1" xfId="3" applyFont="1" applyBorder="1" applyAlignment="1">
      <alignment vertical="top" wrapText="1"/>
    </xf>
    <xf numFmtId="170" fontId="7" fillId="9" borderId="1" xfId="0" applyNumberFormat="1" applyFont="1" applyFill="1" applyBorder="1" applyAlignment="1">
      <alignment vertical="top" wrapText="1"/>
    </xf>
    <xf numFmtId="9" fontId="7" fillId="2" borderId="8" xfId="3" applyFont="1" applyFill="1" applyBorder="1" applyAlignment="1">
      <alignment horizontal="left" vertical="top" wrapText="1"/>
    </xf>
    <xf numFmtId="0" fontId="7" fillId="2" borderId="8" xfId="0" applyFont="1" applyFill="1" applyBorder="1" applyAlignment="1">
      <alignment horizontal="left" vertical="top" wrapText="1"/>
    </xf>
    <xf numFmtId="0" fontId="7" fillId="19" borderId="1" xfId="0" applyFont="1" applyFill="1" applyBorder="1" applyAlignment="1">
      <alignment horizontal="right" vertical="top" wrapText="1"/>
    </xf>
    <xf numFmtId="170" fontId="1" fillId="19" borderId="1" xfId="1" applyNumberFormat="1" applyFont="1" applyFill="1" applyBorder="1" applyAlignment="1">
      <alignment vertical="top" wrapText="1"/>
    </xf>
    <xf numFmtId="0" fontId="7" fillId="19" borderId="8" xfId="0" applyFont="1" applyFill="1" applyBorder="1" applyAlignment="1">
      <alignment horizontal="left" vertical="top" wrapText="1"/>
    </xf>
    <xf numFmtId="170" fontId="1" fillId="2" borderId="1" xfId="0" applyNumberFormat="1" applyFont="1" applyFill="1" applyBorder="1" applyAlignment="1">
      <alignment horizontal="right" vertical="top" wrapText="1"/>
    </xf>
    <xf numFmtId="0" fontId="7" fillId="3" borderId="1" xfId="0" applyFont="1" applyFill="1" applyBorder="1" applyAlignment="1">
      <alignment horizontal="right" vertical="top" wrapText="1"/>
    </xf>
    <xf numFmtId="171" fontId="1" fillId="3" borderId="1" xfId="0" applyNumberFormat="1" applyFont="1" applyFill="1" applyBorder="1" applyAlignment="1">
      <alignment horizontal="right" vertical="top" wrapText="1"/>
    </xf>
    <xf numFmtId="0" fontId="1" fillId="3" borderId="20" xfId="0" applyFont="1" applyFill="1" applyBorder="1" applyAlignment="1">
      <alignment horizontal="left" vertical="top" wrapText="1"/>
    </xf>
    <xf numFmtId="170" fontId="1" fillId="3" borderId="2" xfId="0" applyNumberFormat="1" applyFont="1" applyFill="1" applyBorder="1" applyAlignment="1">
      <alignment horizontal="right" vertical="top" wrapText="1"/>
    </xf>
    <xf numFmtId="170" fontId="1" fillId="2" borderId="2" xfId="0" applyNumberFormat="1" applyFont="1" applyFill="1" applyBorder="1" applyAlignment="1">
      <alignment horizontal="right" vertical="top" wrapText="1"/>
    </xf>
    <xf numFmtId="0" fontId="1" fillId="3" borderId="2" xfId="0" applyFont="1" applyFill="1" applyBorder="1" applyAlignment="1">
      <alignment horizontal="right" vertical="top" wrapText="1"/>
    </xf>
    <xf numFmtId="171" fontId="1" fillId="3" borderId="2" xfId="0" applyNumberFormat="1" applyFont="1" applyFill="1" applyBorder="1" applyAlignment="1">
      <alignment horizontal="right" vertical="top" wrapText="1"/>
    </xf>
    <xf numFmtId="170" fontId="1" fillId="9" borderId="2" xfId="1" applyNumberFormat="1" applyFont="1" applyFill="1" applyBorder="1" applyAlignment="1">
      <alignment horizontal="right" vertical="top" wrapText="1"/>
    </xf>
    <xf numFmtId="0" fontId="1" fillId="3" borderId="21" xfId="0" applyFont="1" applyFill="1" applyBorder="1" applyAlignment="1">
      <alignment horizontal="left" vertical="top" wrapText="1"/>
    </xf>
    <xf numFmtId="170" fontId="1" fillId="9" borderId="1" xfId="1" applyNumberFormat="1" applyFont="1" applyFill="1" applyBorder="1" applyAlignment="1">
      <alignment horizontal="right" vertical="top" wrapText="1"/>
    </xf>
    <xf numFmtId="9" fontId="7" fillId="2" borderId="1" xfId="2" applyNumberFormat="1" applyFont="1" applyFill="1" applyBorder="1" applyAlignment="1">
      <alignment horizontal="right" vertical="top" wrapText="1"/>
    </xf>
    <xf numFmtId="0" fontId="25" fillId="2" borderId="1" xfId="0" applyFont="1" applyFill="1" applyBorder="1" applyAlignment="1">
      <alignment horizontal="left" vertical="center" wrapText="1"/>
    </xf>
    <xf numFmtId="170" fontId="1" fillId="9" borderId="1" xfId="0" applyNumberFormat="1" applyFont="1" applyFill="1" applyBorder="1" applyAlignment="1">
      <alignment vertical="top" wrapText="1"/>
    </xf>
    <xf numFmtId="170" fontId="1" fillId="3" borderId="2" xfId="0" applyNumberFormat="1" applyFont="1" applyFill="1" applyBorder="1" applyAlignment="1">
      <alignment vertical="top" wrapText="1"/>
    </xf>
    <xf numFmtId="170" fontId="1" fillId="2" borderId="2" xfId="0" applyNumberFormat="1" applyFont="1" applyFill="1" applyBorder="1" applyAlignment="1">
      <alignment vertical="top" wrapText="1"/>
    </xf>
    <xf numFmtId="0" fontId="7" fillId="3" borderId="2" xfId="0" applyFont="1" applyFill="1" applyBorder="1" applyAlignment="1">
      <alignment horizontal="right" vertical="top" wrapText="1"/>
    </xf>
    <xf numFmtId="170" fontId="1" fillId="9" borderId="2" xfId="1" applyNumberFormat="1" applyFont="1" applyFill="1" applyBorder="1" applyAlignment="1">
      <alignment vertical="top" wrapText="1"/>
    </xf>
    <xf numFmtId="0" fontId="7" fillId="2" borderId="21" xfId="0" applyFont="1" applyFill="1" applyBorder="1" applyAlignment="1">
      <alignment horizontal="left" vertical="top" wrapText="1"/>
    </xf>
    <xf numFmtId="0" fontId="7" fillId="0" borderId="7" xfId="0" applyFont="1" applyFill="1" applyBorder="1" applyAlignment="1">
      <alignment horizontal="left" vertical="top" wrapText="1"/>
    </xf>
    <xf numFmtId="9" fontId="7" fillId="2" borderId="1" xfId="0" applyNumberFormat="1" applyFont="1" applyFill="1" applyBorder="1" applyAlignment="1">
      <alignment horizontal="right" vertical="top" wrapText="1"/>
    </xf>
    <xf numFmtId="166" fontId="7" fillId="9" borderId="1" xfId="1" applyFont="1" applyFill="1" applyBorder="1" applyAlignment="1">
      <alignment horizontal="right" vertical="top" wrapText="1"/>
    </xf>
    <xf numFmtId="0" fontId="7" fillId="2" borderId="1" xfId="0" applyFont="1" applyFill="1" applyBorder="1" applyAlignment="1">
      <alignment horizontal="left" vertical="top"/>
    </xf>
    <xf numFmtId="0" fontId="24" fillId="2" borderId="1" xfId="0" applyFont="1" applyFill="1" applyBorder="1" applyAlignment="1">
      <alignment horizontal="left" vertical="center"/>
    </xf>
    <xf numFmtId="0" fontId="1" fillId="2" borderId="8" xfId="0" applyFont="1" applyFill="1" applyBorder="1" applyAlignment="1">
      <alignment horizontal="left" vertical="top" wrapText="1"/>
    </xf>
    <xf numFmtId="170" fontId="7" fillId="0" borderId="1" xfId="0" applyNumberFormat="1" applyFont="1" applyFill="1" applyBorder="1" applyAlignment="1">
      <alignment horizontal="right" vertical="top" wrapText="1"/>
    </xf>
    <xf numFmtId="171" fontId="7" fillId="2" borderId="1" xfId="0" applyNumberFormat="1" applyFont="1" applyFill="1" applyBorder="1" applyAlignment="1">
      <alignment horizontal="left" vertical="top" wrapText="1"/>
    </xf>
    <xf numFmtId="170" fontId="3" fillId="9" borderId="3" xfId="0" applyNumberFormat="1" applyFont="1" applyFill="1" applyBorder="1" applyAlignment="1">
      <alignment horizontal="right" vertical="top"/>
    </xf>
    <xf numFmtId="170" fontId="3" fillId="0" borderId="3" xfId="0" applyNumberFormat="1" applyFont="1" applyBorder="1" applyAlignment="1">
      <alignment horizontal="right" vertical="top"/>
    </xf>
    <xf numFmtId="170" fontId="3" fillId="2" borderId="3" xfId="0" applyNumberFormat="1" applyFont="1" applyFill="1" applyBorder="1" applyAlignment="1">
      <alignment horizontal="right" vertical="top" wrapText="1"/>
    </xf>
    <xf numFmtId="171" fontId="3" fillId="2" borderId="1" xfId="0" applyNumberFormat="1" applyFont="1" applyFill="1" applyBorder="1" applyAlignment="1">
      <alignment horizontal="right" vertical="center" wrapText="1"/>
    </xf>
    <xf numFmtId="170" fontId="3" fillId="9" borderId="1" xfId="0" applyNumberFormat="1" applyFont="1" applyFill="1" applyBorder="1" applyAlignment="1">
      <alignment horizontal="right" vertical="top"/>
    </xf>
    <xf numFmtId="170" fontId="3" fillId="2" borderId="1" xfId="0" applyNumberFormat="1" applyFont="1" applyFill="1" applyBorder="1" applyAlignment="1">
      <alignment horizontal="right" vertical="top" wrapText="1"/>
    </xf>
    <xf numFmtId="170" fontId="3" fillId="2" borderId="1" xfId="0" applyNumberFormat="1" applyFont="1" applyFill="1" applyBorder="1" applyAlignment="1">
      <alignment horizontal="right" vertical="center" wrapText="1"/>
    </xf>
    <xf numFmtId="171" fontId="3" fillId="2" borderId="1" xfId="0" applyNumberFormat="1" applyFont="1" applyFill="1" applyBorder="1" applyAlignment="1">
      <alignment horizontal="right" vertical="top" wrapText="1"/>
    </xf>
    <xf numFmtId="170" fontId="3" fillId="9" borderId="2" xfId="0" applyNumberFormat="1" applyFont="1" applyFill="1" applyBorder="1" applyAlignment="1">
      <alignment horizontal="right" vertical="top"/>
    </xf>
    <xf numFmtId="170" fontId="3" fillId="9" borderId="2" xfId="0" applyNumberFormat="1" applyFont="1" applyFill="1" applyBorder="1" applyAlignment="1">
      <alignment horizontal="right" vertical="top" wrapText="1"/>
    </xf>
    <xf numFmtId="170" fontId="3" fillId="2" borderId="2" xfId="0" applyNumberFormat="1" applyFont="1" applyFill="1" applyBorder="1" applyAlignment="1">
      <alignment horizontal="right" vertical="top" wrapText="1"/>
    </xf>
    <xf numFmtId="170" fontId="4" fillId="9" borderId="18" xfId="0" applyNumberFormat="1" applyFont="1" applyFill="1" applyBorder="1" applyAlignment="1">
      <alignment horizontal="right" vertical="top"/>
    </xf>
    <xf numFmtId="170" fontId="4" fillId="6" borderId="18" xfId="0" applyNumberFormat="1" applyFont="1" applyFill="1" applyBorder="1" applyAlignment="1">
      <alignment horizontal="right" vertical="top"/>
    </xf>
    <xf numFmtId="170" fontId="3" fillId="6" borderId="18" xfId="0" applyNumberFormat="1" applyFont="1" applyFill="1" applyBorder="1" applyAlignment="1">
      <alignment horizontal="right" vertical="top"/>
    </xf>
    <xf numFmtId="170" fontId="3" fillId="21" borderId="18" xfId="0" applyNumberFormat="1" applyFont="1" applyFill="1" applyBorder="1" applyAlignment="1">
      <alignment horizontal="right" vertical="top"/>
    </xf>
    <xf numFmtId="171" fontId="16" fillId="0" borderId="1" xfId="0" applyNumberFormat="1" applyFont="1" applyBorder="1" applyAlignment="1">
      <alignment horizontal="right" vertical="top"/>
    </xf>
    <xf numFmtId="171" fontId="12" fillId="0" borderId="1" xfId="0" applyNumberFormat="1" applyFont="1" applyBorder="1" applyAlignment="1">
      <alignment horizontal="right" vertical="top"/>
    </xf>
    <xf numFmtId="166" fontId="12" fillId="0" borderId="1" xfId="1" applyFont="1" applyBorder="1" applyAlignment="1">
      <alignment horizontal="right" vertical="top" wrapText="1"/>
    </xf>
    <xf numFmtId="0" fontId="12" fillId="0" borderId="1" xfId="0" applyFont="1" applyBorder="1" applyAlignment="1">
      <alignment horizontal="right" vertical="top"/>
    </xf>
    <xf numFmtId="166" fontId="12" fillId="0" borderId="1" xfId="1" applyNumberFormat="1" applyFont="1" applyBorder="1" applyAlignment="1">
      <alignment horizontal="right"/>
    </xf>
    <xf numFmtId="0" fontId="12" fillId="0" borderId="1" xfId="0" applyFont="1" applyBorder="1" applyAlignment="1">
      <alignment horizontal="right" vertical="top" wrapText="1"/>
    </xf>
    <xf numFmtId="170" fontId="12" fillId="0" borderId="1" xfId="0" applyNumberFormat="1" applyFont="1" applyBorder="1" applyAlignment="1">
      <alignment horizontal="right" vertical="top"/>
    </xf>
    <xf numFmtId="0" fontId="13" fillId="0" borderId="1" xfId="0" applyFont="1" applyBorder="1" applyAlignment="1">
      <alignment horizontal="right" vertical="top"/>
    </xf>
    <xf numFmtId="0" fontId="14" fillId="23" borderId="15" xfId="0" applyFont="1" applyFill="1" applyBorder="1" applyAlignment="1">
      <alignment vertical="top" wrapText="1"/>
    </xf>
    <xf numFmtId="0" fontId="14" fillId="23" borderId="7" xfId="0" applyFont="1" applyFill="1" applyBorder="1" applyAlignment="1">
      <alignment vertical="top" wrapText="1"/>
    </xf>
    <xf numFmtId="0" fontId="14" fillId="23" borderId="20" xfId="0" applyFont="1" applyFill="1" applyBorder="1" applyAlignment="1">
      <alignment vertical="top" wrapText="1"/>
    </xf>
    <xf numFmtId="0" fontId="7" fillId="14" borderId="7" xfId="0" applyFont="1" applyFill="1" applyBorder="1" applyAlignment="1">
      <alignment horizontal="left" vertical="top" wrapText="1"/>
    </xf>
    <xf numFmtId="0" fontId="7" fillId="14" borderId="1" xfId="0" applyFont="1" applyFill="1" applyBorder="1" applyAlignment="1">
      <alignment horizontal="left" vertical="top" wrapText="1"/>
    </xf>
    <xf numFmtId="0" fontId="7" fillId="14" borderId="8" xfId="0" applyFont="1" applyFill="1" applyBorder="1" applyAlignment="1">
      <alignment horizontal="left" vertical="top" wrapText="1"/>
    </xf>
    <xf numFmtId="0" fontId="1" fillId="14" borderId="17" xfId="0" applyFont="1" applyFill="1" applyBorder="1" applyAlignment="1">
      <alignment horizontal="left" vertical="top" wrapText="1"/>
    </xf>
    <xf numFmtId="0" fontId="1" fillId="14" borderId="18" xfId="0" applyFont="1" applyFill="1" applyBorder="1" applyAlignment="1">
      <alignment horizontal="left" vertical="top" wrapText="1"/>
    </xf>
    <xf numFmtId="0" fontId="1" fillId="14" borderId="19" xfId="0" applyFont="1" applyFill="1" applyBorder="1" applyAlignment="1">
      <alignment horizontal="left" vertical="top" wrapText="1"/>
    </xf>
    <xf numFmtId="0" fontId="7" fillId="14" borderId="15" xfId="0" applyFont="1" applyFill="1" applyBorder="1" applyAlignment="1">
      <alignment horizontal="left" vertical="top" wrapText="1"/>
    </xf>
    <xf numFmtId="0" fontId="7" fillId="14" borderId="3" xfId="0" applyFont="1" applyFill="1" applyBorder="1" applyAlignment="1">
      <alignment horizontal="left" vertical="top" wrapText="1"/>
    </xf>
    <xf numFmtId="0" fontId="7" fillId="14" borderId="16" xfId="0" applyFont="1" applyFill="1" applyBorder="1" applyAlignment="1">
      <alignment horizontal="left" vertical="top" wrapText="1"/>
    </xf>
    <xf numFmtId="0" fontId="13" fillId="14" borderId="7" xfId="0" applyFont="1" applyFill="1" applyBorder="1" applyAlignment="1">
      <alignment horizontal="left" vertical="top" wrapText="1"/>
    </xf>
    <xf numFmtId="0" fontId="13" fillId="14" borderId="1" xfId="0" applyFont="1" applyFill="1" applyBorder="1" applyAlignment="1">
      <alignment horizontal="left" vertical="top" wrapText="1"/>
    </xf>
    <xf numFmtId="0" fontId="13" fillId="15" borderId="17" xfId="0" applyFont="1" applyFill="1" applyBorder="1" applyAlignment="1">
      <alignment horizontal="left" vertical="top" wrapText="1"/>
    </xf>
    <xf numFmtId="0" fontId="13" fillId="15" borderId="18" xfId="0" applyFont="1" applyFill="1" applyBorder="1" applyAlignment="1">
      <alignment horizontal="left" vertical="top" wrapText="1"/>
    </xf>
    <xf numFmtId="0" fontId="13" fillId="15" borderId="19"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12" fillId="14" borderId="15" xfId="0" applyFont="1" applyFill="1" applyBorder="1" applyAlignment="1">
      <alignment horizontal="left" vertical="top" wrapText="1"/>
    </xf>
    <xf numFmtId="0" fontId="12" fillId="14" borderId="3" xfId="0" applyFont="1" applyFill="1" applyBorder="1" applyAlignment="1">
      <alignment horizontal="left" vertical="top" wrapText="1"/>
    </xf>
    <xf numFmtId="0" fontId="12" fillId="14" borderId="16" xfId="0" applyFont="1" applyFill="1" applyBorder="1" applyAlignment="1">
      <alignment horizontal="left" vertical="top" wrapText="1"/>
    </xf>
    <xf numFmtId="0" fontId="19" fillId="7" borderId="5" xfId="0" applyFont="1" applyFill="1" applyBorder="1" applyAlignment="1">
      <alignment horizontal="center" vertical="top" wrapText="1"/>
    </xf>
    <xf numFmtId="0" fontId="19" fillId="7" borderId="10" xfId="0" applyFont="1" applyFill="1" applyBorder="1" applyAlignment="1">
      <alignment horizontal="center" vertical="top" wrapText="1"/>
    </xf>
    <xf numFmtId="0" fontId="13" fillId="8" borderId="5" xfId="0" applyFont="1" applyFill="1" applyBorder="1" applyAlignment="1">
      <alignment horizontal="center" vertical="top"/>
    </xf>
    <xf numFmtId="0" fontId="13" fillId="8" borderId="6" xfId="0" applyFont="1" applyFill="1" applyBorder="1" applyAlignment="1">
      <alignment horizontal="center" vertical="top"/>
    </xf>
    <xf numFmtId="0" fontId="19" fillId="4" borderId="4"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18" borderId="5" xfId="0" applyFont="1" applyFill="1" applyBorder="1" applyAlignment="1">
      <alignment horizontal="center" vertical="top" wrapText="1"/>
    </xf>
    <xf numFmtId="0" fontId="19" fillId="17" borderId="22" xfId="0" applyFont="1" applyFill="1" applyBorder="1" applyAlignment="1">
      <alignment horizontal="center" vertical="top" wrapText="1"/>
    </xf>
    <xf numFmtId="0" fontId="19" fillId="17" borderId="23" xfId="0" applyFont="1" applyFill="1" applyBorder="1" applyAlignment="1">
      <alignment horizontal="center" vertical="top" wrapText="1"/>
    </xf>
    <xf numFmtId="0" fontId="19" fillId="17" borderId="24" xfId="0" applyFont="1" applyFill="1" applyBorder="1" applyAlignment="1">
      <alignment horizontal="center" vertical="top" wrapText="1"/>
    </xf>
    <xf numFmtId="0" fontId="19" fillId="20" borderId="22" xfId="0" applyFont="1" applyFill="1" applyBorder="1" applyAlignment="1">
      <alignment horizontal="center" vertical="top" wrapText="1"/>
    </xf>
    <xf numFmtId="0" fontId="19" fillId="20" borderId="23" xfId="0" applyFont="1" applyFill="1" applyBorder="1" applyAlignment="1">
      <alignment horizontal="center" vertical="top" wrapText="1"/>
    </xf>
    <xf numFmtId="0" fontId="19" fillId="20" borderId="24" xfId="0" applyFont="1" applyFill="1" applyBorder="1" applyAlignment="1">
      <alignment horizontal="center"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5"/>
  <sheetViews>
    <sheetView view="pageBreakPreview" topLeftCell="A7" zoomScale="90" zoomScaleSheetLayoutView="90" workbookViewId="0">
      <pane xSplit="1" ySplit="3" topLeftCell="B56" activePane="bottomRight" state="frozen"/>
      <selection activeCell="A7" sqref="A7"/>
      <selection pane="topRight" activeCell="B7" sqref="B7"/>
      <selection pane="bottomLeft" activeCell="A10" sqref="A10"/>
      <selection pane="bottomRight" activeCell="K59" sqref="K59"/>
    </sheetView>
  </sheetViews>
  <sheetFormatPr defaultColWidth="10.7265625" defaultRowHeight="14.5" x14ac:dyDescent="0.35"/>
  <cols>
    <col min="1" max="1" width="16.1796875" style="12" customWidth="1"/>
    <col min="2" max="2" width="36.54296875" style="12" customWidth="1"/>
    <col min="3" max="3" width="11.7265625" style="12" customWidth="1"/>
    <col min="4" max="4" width="11.7265625" style="99" customWidth="1"/>
    <col min="5" max="5" width="11.7265625" style="12" customWidth="1"/>
    <col min="6" max="6" width="11.7265625" style="99" customWidth="1"/>
    <col min="7" max="7" width="14" style="12" customWidth="1"/>
    <col min="8" max="8" width="11.7265625" style="12" customWidth="1"/>
    <col min="9" max="9" width="14" style="87" customWidth="1"/>
    <col min="10" max="10" width="13.6328125" style="12" customWidth="1"/>
    <col min="11" max="11" width="14" style="12" customWidth="1"/>
    <col min="12" max="12" width="14.7265625" style="12" customWidth="1"/>
    <col min="13" max="13" width="19.36328125" style="12" customWidth="1"/>
    <col min="14" max="14" width="8.453125" style="12" hidden="1" customWidth="1"/>
    <col min="15" max="15" width="8.26953125" style="12" hidden="1" customWidth="1"/>
    <col min="16" max="16" width="3.54296875" style="12" customWidth="1"/>
    <col min="17" max="17" width="28.7265625" style="12" customWidth="1"/>
    <col min="18" max="18" width="34.26953125" style="12" customWidth="1"/>
    <col min="19" max="16384" width="10.7265625" style="12"/>
  </cols>
  <sheetData>
    <row r="1" spans="1:31" ht="20" hidden="1" x14ac:dyDescent="0.35">
      <c r="A1" s="30" t="s">
        <v>0</v>
      </c>
      <c r="B1" s="11"/>
      <c r="C1" s="11"/>
      <c r="D1" s="12"/>
      <c r="F1" s="12"/>
      <c r="I1" s="12"/>
    </row>
    <row r="2" spans="1:31" ht="15.5" hidden="1" x14ac:dyDescent="0.35">
      <c r="A2" s="31"/>
      <c r="B2" s="13"/>
      <c r="C2" s="13"/>
      <c r="D2" s="12"/>
      <c r="F2" s="12"/>
      <c r="I2" s="12"/>
    </row>
    <row r="3" spans="1:31" ht="15.5" hidden="1" x14ac:dyDescent="0.35">
      <c r="A3" s="32" t="s">
        <v>1</v>
      </c>
      <c r="B3" s="13"/>
      <c r="C3" s="13"/>
      <c r="D3" s="12"/>
      <c r="F3" s="12"/>
      <c r="I3" s="12"/>
    </row>
    <row r="4" spans="1:31" hidden="1" x14ac:dyDescent="0.35">
      <c r="A4" s="32"/>
      <c r="D4" s="12"/>
      <c r="F4" s="12"/>
      <c r="I4" s="12"/>
    </row>
    <row r="5" spans="1:31" ht="15" hidden="1" x14ac:dyDescent="0.35">
      <c r="A5" s="31" t="s">
        <v>2</v>
      </c>
      <c r="D5" s="12"/>
      <c r="F5" s="12"/>
      <c r="I5" s="12"/>
    </row>
    <row r="6" spans="1:31" ht="15" hidden="1" thickBot="1" x14ac:dyDescent="0.4">
      <c r="D6" s="12"/>
      <c r="F6" s="12"/>
      <c r="I6" s="12"/>
    </row>
    <row r="7" spans="1:31" s="14" customFormat="1" ht="112.5" thickBot="1" x14ac:dyDescent="0.4">
      <c r="A7" s="3" t="s">
        <v>3</v>
      </c>
      <c r="B7" s="4" t="s">
        <v>4</v>
      </c>
      <c r="C7" s="5" t="s">
        <v>5</v>
      </c>
      <c r="D7" s="100" t="s">
        <v>6</v>
      </c>
      <c r="E7" s="6" t="s">
        <v>7</v>
      </c>
      <c r="F7" s="110" t="s">
        <v>8</v>
      </c>
      <c r="G7" s="4" t="s">
        <v>9</v>
      </c>
      <c r="H7" s="7" t="s">
        <v>122</v>
      </c>
      <c r="I7" s="7" t="s">
        <v>123</v>
      </c>
      <c r="J7" s="7" t="s">
        <v>124</v>
      </c>
      <c r="K7" s="7" t="s">
        <v>125</v>
      </c>
      <c r="L7" s="7" t="s">
        <v>10</v>
      </c>
      <c r="M7" s="8" t="s">
        <v>11</v>
      </c>
    </row>
    <row r="8" spans="1:31" s="14" customFormat="1" ht="15" thickBot="1" x14ac:dyDescent="0.4">
      <c r="A8" s="245" t="s">
        <v>12</v>
      </c>
      <c r="B8" s="246"/>
      <c r="C8" s="246"/>
      <c r="D8" s="246"/>
      <c r="E8" s="246"/>
      <c r="F8" s="246"/>
      <c r="G8" s="246"/>
      <c r="H8" s="246"/>
      <c r="I8" s="246"/>
      <c r="J8" s="246"/>
      <c r="K8" s="246"/>
      <c r="L8" s="246"/>
      <c r="M8" s="247"/>
    </row>
    <row r="9" spans="1:31" s="14" customFormat="1" x14ac:dyDescent="0.35">
      <c r="A9" s="251" t="s">
        <v>13</v>
      </c>
      <c r="B9" s="252"/>
      <c r="C9" s="252"/>
      <c r="D9" s="252"/>
      <c r="E9" s="252"/>
      <c r="F9" s="252"/>
      <c r="G9" s="252"/>
      <c r="H9" s="252"/>
      <c r="I9" s="252"/>
      <c r="J9" s="252"/>
      <c r="K9" s="252"/>
      <c r="L9" s="252"/>
      <c r="M9" s="253"/>
    </row>
    <row r="10" spans="1:31" s="16" customFormat="1" ht="42" x14ac:dyDescent="0.35">
      <c r="A10" s="9" t="s">
        <v>14</v>
      </c>
      <c r="B10" s="1" t="s">
        <v>15</v>
      </c>
      <c r="C10" s="39">
        <v>0</v>
      </c>
      <c r="D10" s="39">
        <v>65000</v>
      </c>
      <c r="E10" s="39">
        <v>0</v>
      </c>
      <c r="F10" s="39">
        <v>0</v>
      </c>
      <c r="G10" s="33">
        <v>1</v>
      </c>
      <c r="H10" s="50">
        <v>0</v>
      </c>
      <c r="I10" s="101">
        <v>65164.83</v>
      </c>
      <c r="J10" s="154">
        <v>0</v>
      </c>
      <c r="K10" s="40">
        <v>0</v>
      </c>
      <c r="L10" s="41">
        <f>H10+I10+J10+K10</f>
        <v>65164.83</v>
      </c>
      <c r="M10" s="2"/>
      <c r="N10" s="15">
        <f>D10</f>
        <v>65000</v>
      </c>
      <c r="O10" s="16">
        <f>N10*G10</f>
        <v>65000</v>
      </c>
    </row>
    <row r="11" spans="1:31" s="17" customFormat="1" ht="84" x14ac:dyDescent="0.35">
      <c r="A11" s="18" t="s">
        <v>16</v>
      </c>
      <c r="B11" s="10" t="s">
        <v>17</v>
      </c>
      <c r="C11" s="44">
        <v>35000</v>
      </c>
      <c r="D11" s="44">
        <v>50000</v>
      </c>
      <c r="E11" s="44">
        <v>50000</v>
      </c>
      <c r="F11" s="44">
        <v>0</v>
      </c>
      <c r="G11" s="34">
        <v>1</v>
      </c>
      <c r="H11" s="97">
        <v>10401.006711409396</v>
      </c>
      <c r="I11" s="136">
        <v>51132.36</v>
      </c>
      <c r="J11" s="155">
        <v>50430</v>
      </c>
      <c r="K11" s="131">
        <v>0</v>
      </c>
      <c r="L11" s="45">
        <f>H11+I11+J11+K11</f>
        <v>111963.3667114094</v>
      </c>
      <c r="M11" s="160"/>
      <c r="N11" s="15">
        <f>F11+E11+D11+C11</f>
        <v>135000</v>
      </c>
      <c r="O11" s="16">
        <f>N11*G11</f>
        <v>135000</v>
      </c>
      <c r="P11" s="16"/>
      <c r="Q11" s="16"/>
      <c r="R11" s="16"/>
      <c r="S11" s="16"/>
      <c r="T11" s="16"/>
      <c r="U11" s="16"/>
      <c r="V11" s="16"/>
      <c r="W11" s="16"/>
      <c r="X11" s="16"/>
      <c r="Y11" s="16"/>
      <c r="Z11" s="16"/>
      <c r="AA11" s="16"/>
      <c r="AB11" s="16"/>
      <c r="AC11" s="16"/>
      <c r="AD11" s="16"/>
      <c r="AE11" s="16"/>
    </row>
    <row r="12" spans="1:31" s="14" customFormat="1" ht="98" x14ac:dyDescent="0.35">
      <c r="A12" s="18" t="s">
        <v>18</v>
      </c>
      <c r="B12" s="10" t="s">
        <v>19</v>
      </c>
      <c r="C12" s="44">
        <v>30000</v>
      </c>
      <c r="D12" s="44">
        <v>0</v>
      </c>
      <c r="E12" s="44">
        <v>30000</v>
      </c>
      <c r="F12" s="44">
        <v>0</v>
      </c>
      <c r="G12" s="161">
        <v>1</v>
      </c>
      <c r="H12" s="97">
        <v>21322.413793103449</v>
      </c>
      <c r="I12" s="97">
        <v>0</v>
      </c>
      <c r="J12" s="155">
        <v>30000</v>
      </c>
      <c r="K12" s="162">
        <v>0</v>
      </c>
      <c r="L12" s="45">
        <f>H12+I12+J12+K12</f>
        <v>51322.413793103449</v>
      </c>
      <c r="M12" s="163"/>
      <c r="N12" s="15">
        <f>F12+E12+D12+C12</f>
        <v>60000</v>
      </c>
      <c r="O12" s="16">
        <f>N12*G12</f>
        <v>60000</v>
      </c>
    </row>
    <row r="13" spans="1:31" s="14" customFormat="1" ht="112" x14ac:dyDescent="0.35">
      <c r="A13" s="18" t="s">
        <v>20</v>
      </c>
      <c r="B13" s="10" t="s">
        <v>21</v>
      </c>
      <c r="C13" s="44">
        <v>132000</v>
      </c>
      <c r="D13" s="44">
        <v>0</v>
      </c>
      <c r="E13" s="44">
        <v>0</v>
      </c>
      <c r="F13" s="44">
        <v>0</v>
      </c>
      <c r="G13" s="164">
        <v>0.7</v>
      </c>
      <c r="H13" s="97">
        <v>132000</v>
      </c>
      <c r="I13" s="97">
        <v>0</v>
      </c>
      <c r="J13" s="155">
        <v>2137</v>
      </c>
      <c r="K13" s="162">
        <v>0</v>
      </c>
      <c r="L13" s="45">
        <f>H13+I13+J13+K13</f>
        <v>134137</v>
      </c>
      <c r="M13" s="163"/>
      <c r="N13" s="15">
        <f>F13+E13+D13+C13</f>
        <v>132000</v>
      </c>
      <c r="O13" s="16">
        <f>N13*G13</f>
        <v>92400</v>
      </c>
    </row>
    <row r="14" spans="1:31" s="14" customFormat="1" x14ac:dyDescent="0.35">
      <c r="A14" s="165" t="s">
        <v>22</v>
      </c>
      <c r="B14" s="43">
        <f>C14+D14+E14</f>
        <v>392000</v>
      </c>
      <c r="C14" s="166">
        <f>SUM(C10:C13)</f>
        <v>197000</v>
      </c>
      <c r="D14" s="166">
        <f>SUM(D10:D13)</f>
        <v>115000</v>
      </c>
      <c r="E14" s="166">
        <f>SUM(E10:E13)</f>
        <v>80000</v>
      </c>
      <c r="F14" s="167"/>
      <c r="G14" s="168"/>
      <c r="H14" s="166">
        <f>SUM(H10:H13)</f>
        <v>163723.42050451285</v>
      </c>
      <c r="I14" s="169">
        <f>SUM(I10:I13)</f>
        <v>116297.19</v>
      </c>
      <c r="J14" s="169">
        <f>SUM(J10:J13)</f>
        <v>82567</v>
      </c>
      <c r="K14" s="166">
        <f>SUM(K10:K13)</f>
        <v>0</v>
      </c>
      <c r="L14" s="170">
        <f>SUM(L10:L13)</f>
        <v>362587.61050451285</v>
      </c>
      <c r="M14" s="171"/>
    </row>
    <row r="15" spans="1:31" s="14" customFormat="1" x14ac:dyDescent="0.35">
      <c r="A15" s="234" t="s">
        <v>23</v>
      </c>
      <c r="B15" s="235"/>
      <c r="C15" s="235"/>
      <c r="D15" s="235"/>
      <c r="E15" s="235"/>
      <c r="F15" s="235"/>
      <c r="G15" s="235"/>
      <c r="H15" s="235"/>
      <c r="I15" s="235"/>
      <c r="J15" s="235"/>
      <c r="K15" s="235"/>
      <c r="L15" s="235"/>
      <c r="M15" s="236"/>
    </row>
    <row r="16" spans="1:31" s="14" customFormat="1" ht="28" x14ac:dyDescent="0.35">
      <c r="A16" s="18" t="s">
        <v>24</v>
      </c>
      <c r="B16" s="10" t="s">
        <v>25</v>
      </c>
      <c r="C16" s="172">
        <v>15000</v>
      </c>
      <c r="D16" s="172">
        <v>30000</v>
      </c>
      <c r="E16" s="172">
        <v>15000</v>
      </c>
      <c r="F16" s="172">
        <v>0</v>
      </c>
      <c r="G16" s="34">
        <v>0.5</v>
      </c>
      <c r="H16" s="173">
        <v>7649.77</v>
      </c>
      <c r="I16" s="152">
        <v>30000</v>
      </c>
      <c r="J16" s="156">
        <v>12000</v>
      </c>
      <c r="K16" s="174"/>
      <c r="L16" s="175">
        <f>H16+I16+J16+K16</f>
        <v>49649.770000000004</v>
      </c>
      <c r="M16" s="160"/>
      <c r="N16" s="15">
        <f>F16+E16+D16+C16</f>
        <v>60000</v>
      </c>
      <c r="O16" s="14">
        <f>N16*G16</f>
        <v>30000</v>
      </c>
    </row>
    <row r="17" spans="1:15" s="14" customFormat="1" ht="84" x14ac:dyDescent="0.35">
      <c r="A17" s="18" t="s">
        <v>26</v>
      </c>
      <c r="B17" s="10" t="s">
        <v>27</v>
      </c>
      <c r="C17" s="172">
        <v>10000</v>
      </c>
      <c r="D17" s="172">
        <v>30000</v>
      </c>
      <c r="E17" s="172">
        <v>0</v>
      </c>
      <c r="F17" s="172">
        <v>0</v>
      </c>
      <c r="G17" s="34">
        <v>0.5</v>
      </c>
      <c r="H17" s="173">
        <v>0</v>
      </c>
      <c r="I17" s="152">
        <v>30745.65</v>
      </c>
      <c r="J17" s="156">
        <v>0</v>
      </c>
      <c r="K17" s="173"/>
      <c r="L17" s="175">
        <f>H17+I17+J17+K17</f>
        <v>30745.65</v>
      </c>
      <c r="M17" s="176"/>
      <c r="N17" s="15">
        <f>F17+E17+D17+C17</f>
        <v>40000</v>
      </c>
      <c r="O17" s="14">
        <f>N17*G17</f>
        <v>20000</v>
      </c>
    </row>
    <row r="18" spans="1:15" s="14" customFormat="1" ht="56" x14ac:dyDescent="0.35">
      <c r="A18" s="18" t="s">
        <v>28</v>
      </c>
      <c r="B18" s="10" t="s">
        <v>29</v>
      </c>
      <c r="C18" s="172">
        <v>0</v>
      </c>
      <c r="D18" s="172">
        <v>0</v>
      </c>
      <c r="E18" s="172">
        <v>10000</v>
      </c>
      <c r="F18" s="172">
        <v>0</v>
      </c>
      <c r="G18" s="34">
        <v>0.2</v>
      </c>
      <c r="H18" s="173">
        <v>0</v>
      </c>
      <c r="I18" s="153">
        <v>0</v>
      </c>
      <c r="J18" s="156">
        <v>17917</v>
      </c>
      <c r="K18" s="173"/>
      <c r="L18" s="175">
        <f>H18+I18+J18+K18</f>
        <v>17917</v>
      </c>
      <c r="M18" s="163"/>
      <c r="N18" s="15">
        <f>F18+E18+D18+C18</f>
        <v>10000</v>
      </c>
      <c r="O18" s="14">
        <f>N18*G18</f>
        <v>2000</v>
      </c>
    </row>
    <row r="19" spans="1:15" s="14" customFormat="1" ht="56" x14ac:dyDescent="0.35">
      <c r="A19" s="18" t="s">
        <v>30</v>
      </c>
      <c r="B19" s="10" t="s">
        <v>31</v>
      </c>
      <c r="C19" s="172">
        <v>15000</v>
      </c>
      <c r="D19" s="172">
        <v>25000</v>
      </c>
      <c r="E19" s="172">
        <v>50000</v>
      </c>
      <c r="F19" s="172">
        <v>0</v>
      </c>
      <c r="G19" s="34">
        <v>0.5</v>
      </c>
      <c r="H19" s="173">
        <v>7233.2896874569706</v>
      </c>
      <c r="I19" s="152">
        <v>25653.17</v>
      </c>
      <c r="J19" s="156">
        <f>46552</f>
        <v>46552</v>
      </c>
      <c r="K19" s="173"/>
      <c r="L19" s="175">
        <f>H19+I19+J19+K19</f>
        <v>79438.459687456969</v>
      </c>
      <c r="M19" s="177"/>
      <c r="N19" s="15">
        <f>F19+E19+D19+C19</f>
        <v>90000</v>
      </c>
      <c r="O19" s="14">
        <f>N19*G19</f>
        <v>45000</v>
      </c>
    </row>
    <row r="20" spans="1:15" s="14" customFormat="1" ht="56" x14ac:dyDescent="0.35">
      <c r="A20" s="18" t="s">
        <v>32</v>
      </c>
      <c r="B20" s="10" t="s">
        <v>33</v>
      </c>
      <c r="C20" s="172">
        <v>0</v>
      </c>
      <c r="D20" s="172">
        <v>0</v>
      </c>
      <c r="E20" s="172">
        <v>30000</v>
      </c>
      <c r="F20" s="172">
        <v>0</v>
      </c>
      <c r="G20" s="34">
        <v>0.3</v>
      </c>
      <c r="H20" s="173">
        <v>0</v>
      </c>
      <c r="I20" s="153">
        <v>0</v>
      </c>
      <c r="J20" s="156">
        <v>30000</v>
      </c>
      <c r="K20" s="173"/>
      <c r="L20" s="175">
        <f>H20+I20+J20+K20</f>
        <v>30000</v>
      </c>
      <c r="M20" s="163"/>
      <c r="N20" s="15">
        <f>F20+E20+D20+C20</f>
        <v>30000</v>
      </c>
      <c r="O20" s="14">
        <f>N20*G20</f>
        <v>9000</v>
      </c>
    </row>
    <row r="21" spans="1:15" s="14" customFormat="1" x14ac:dyDescent="0.35">
      <c r="A21" s="102" t="s">
        <v>34</v>
      </c>
      <c r="B21" s="103">
        <f>C21+D21+E21</f>
        <v>230000</v>
      </c>
      <c r="C21" s="103">
        <f>SUM(C16:C20)</f>
        <v>40000</v>
      </c>
      <c r="D21" s="103">
        <f>SUM(D16:D20)</f>
        <v>85000</v>
      </c>
      <c r="E21" s="103">
        <f>SUM(E16:E20)</f>
        <v>105000</v>
      </c>
      <c r="F21" s="111"/>
      <c r="G21" s="178"/>
      <c r="H21" s="103">
        <f>SUM(H16:H20)</f>
        <v>14883.059687456971</v>
      </c>
      <c r="I21" s="104">
        <f>SUM(I16:I20)</f>
        <v>86398.82</v>
      </c>
      <c r="J21" s="104">
        <f>SUM(J16:J20)</f>
        <v>106469</v>
      </c>
      <c r="K21" s="103">
        <f>SUM(K16:K20)</f>
        <v>0</v>
      </c>
      <c r="L21" s="179">
        <f>SUM(L16:L20)</f>
        <v>207750.879687457</v>
      </c>
      <c r="M21" s="180"/>
    </row>
    <row r="22" spans="1:15" s="14" customFormat="1" x14ac:dyDescent="0.35">
      <c r="A22" s="234" t="s">
        <v>35</v>
      </c>
      <c r="B22" s="235"/>
      <c r="C22" s="235"/>
      <c r="D22" s="235"/>
      <c r="E22" s="235"/>
      <c r="F22" s="235"/>
      <c r="G22" s="235"/>
      <c r="H22" s="235"/>
      <c r="I22" s="235"/>
      <c r="J22" s="235"/>
      <c r="K22" s="235"/>
      <c r="L22" s="235"/>
      <c r="M22" s="236"/>
    </row>
    <row r="23" spans="1:15" s="14" customFormat="1" ht="70" x14ac:dyDescent="0.35">
      <c r="A23" s="18" t="s">
        <v>36</v>
      </c>
      <c r="B23" s="10" t="s">
        <v>37</v>
      </c>
      <c r="C23" s="44">
        <v>0</v>
      </c>
      <c r="D23" s="44">
        <v>50000</v>
      </c>
      <c r="E23" s="44">
        <v>45000</v>
      </c>
      <c r="F23" s="44">
        <v>0</v>
      </c>
      <c r="G23" s="34">
        <v>0.35</v>
      </c>
      <c r="H23" s="97">
        <v>0</v>
      </c>
      <c r="I23" s="136">
        <v>50000</v>
      </c>
      <c r="J23" s="157">
        <v>45000</v>
      </c>
      <c r="K23" s="162">
        <v>0</v>
      </c>
      <c r="L23" s="45">
        <f>H23+I23+J23+K23</f>
        <v>95000</v>
      </c>
      <c r="M23" s="177"/>
      <c r="N23" s="15">
        <f>F23+E23+D23+C23</f>
        <v>95000</v>
      </c>
      <c r="O23" s="14">
        <f>N23*G23</f>
        <v>33250</v>
      </c>
    </row>
    <row r="24" spans="1:15" s="14" customFormat="1" ht="84" x14ac:dyDescent="0.35">
      <c r="A24" s="18" t="s">
        <v>38</v>
      </c>
      <c r="B24" s="10" t="s">
        <v>39</v>
      </c>
      <c r="C24" s="44">
        <v>25000</v>
      </c>
      <c r="D24" s="44">
        <v>70000</v>
      </c>
      <c r="E24" s="44">
        <v>40000</v>
      </c>
      <c r="F24" s="44">
        <v>0</v>
      </c>
      <c r="G24" s="34">
        <v>0.35</v>
      </c>
      <c r="H24" s="97">
        <v>19751.225100671138</v>
      </c>
      <c r="I24" s="97">
        <v>70000</v>
      </c>
      <c r="J24" s="157">
        <v>40000</v>
      </c>
      <c r="K24" s="162">
        <v>0</v>
      </c>
      <c r="L24" s="45">
        <f>H24+I24+J24+K24</f>
        <v>129751.22510067114</v>
      </c>
      <c r="M24" s="177"/>
      <c r="N24" s="15">
        <f>F24+E24+D24+C24</f>
        <v>135000</v>
      </c>
      <c r="O24" s="14">
        <f>N24*G24</f>
        <v>47250</v>
      </c>
    </row>
    <row r="25" spans="1:15" s="14" customFormat="1" ht="42" x14ac:dyDescent="0.35">
      <c r="A25" s="18" t="s">
        <v>40</v>
      </c>
      <c r="B25" s="10" t="s">
        <v>41</v>
      </c>
      <c r="C25" s="44">
        <v>0</v>
      </c>
      <c r="D25" s="44">
        <v>30000</v>
      </c>
      <c r="E25" s="44">
        <v>20000</v>
      </c>
      <c r="F25" s="44">
        <v>0</v>
      </c>
      <c r="G25" s="34">
        <v>0.35</v>
      </c>
      <c r="H25" s="97">
        <v>0</v>
      </c>
      <c r="I25" s="136">
        <v>30171.37</v>
      </c>
      <c r="J25" s="157">
        <v>20000</v>
      </c>
      <c r="K25" s="162">
        <v>0</v>
      </c>
      <c r="L25" s="45">
        <f>H25+I25+J25+K25</f>
        <v>50171.369999999995</v>
      </c>
      <c r="M25" s="177"/>
      <c r="N25" s="15">
        <f>F25+E25+D25+C25</f>
        <v>50000</v>
      </c>
      <c r="O25" s="14">
        <f>N25*G25</f>
        <v>17500</v>
      </c>
    </row>
    <row r="26" spans="1:15" s="14" customFormat="1" ht="56" x14ac:dyDescent="0.35">
      <c r="A26" s="18" t="s">
        <v>42</v>
      </c>
      <c r="B26" s="10" t="s">
        <v>43</v>
      </c>
      <c r="C26" s="44">
        <v>0</v>
      </c>
      <c r="D26" s="44">
        <v>57000</v>
      </c>
      <c r="E26" s="44">
        <v>0</v>
      </c>
      <c r="F26" s="44">
        <v>0</v>
      </c>
      <c r="G26" s="34">
        <v>0.5</v>
      </c>
      <c r="H26" s="97">
        <v>0</v>
      </c>
      <c r="I26" s="97">
        <v>57000</v>
      </c>
      <c r="J26" s="157">
        <v>0</v>
      </c>
      <c r="K26" s="162">
        <v>0</v>
      </c>
      <c r="L26" s="45">
        <f>H26+I26+J26+K26</f>
        <v>57000</v>
      </c>
      <c r="M26" s="163"/>
      <c r="N26" s="15">
        <f>F26+E26+D26+C26</f>
        <v>57000</v>
      </c>
      <c r="O26" s="14">
        <f>N26*G26</f>
        <v>28500</v>
      </c>
    </row>
    <row r="27" spans="1:15" s="14" customFormat="1" x14ac:dyDescent="0.35">
      <c r="A27" s="165" t="s">
        <v>44</v>
      </c>
      <c r="B27" s="43">
        <f>C27+D27+E27</f>
        <v>337000</v>
      </c>
      <c r="C27" s="43">
        <f>SUM(C23:C26)</f>
        <v>25000</v>
      </c>
      <c r="D27" s="43">
        <f>SUM(D23:D26)</f>
        <v>207000</v>
      </c>
      <c r="E27" s="43">
        <f>SUM(E23:E26)</f>
        <v>105000</v>
      </c>
      <c r="F27" s="181"/>
      <c r="G27" s="182"/>
      <c r="H27" s="43">
        <f>SUM(H23:H26)</f>
        <v>19751.225100671138</v>
      </c>
      <c r="I27" s="183">
        <f>SUM(I23:I26)</f>
        <v>207171.37</v>
      </c>
      <c r="J27" s="183">
        <f>SUM(J23:J26)</f>
        <v>105000</v>
      </c>
      <c r="K27" s="43">
        <f>SUM(K23:K26)</f>
        <v>0</v>
      </c>
      <c r="L27" s="170">
        <f>SUM(L23:L26)</f>
        <v>331922.59510067117</v>
      </c>
      <c r="M27" s="171"/>
    </row>
    <row r="28" spans="1:15" s="14" customFormat="1" ht="28.5" thickBot="1" x14ac:dyDescent="0.4">
      <c r="A28" s="184" t="s">
        <v>45</v>
      </c>
      <c r="B28" s="185">
        <f>C28+D28+E28</f>
        <v>959000</v>
      </c>
      <c r="C28" s="185">
        <f>C14+C21+C27</f>
        <v>262000</v>
      </c>
      <c r="D28" s="43">
        <f>D14+D21+D27</f>
        <v>407000</v>
      </c>
      <c r="E28" s="185">
        <f>E14+E21+E27</f>
        <v>290000</v>
      </c>
      <c r="F28" s="186"/>
      <c r="G28" s="187"/>
      <c r="H28" s="188">
        <f>H14+H21+H27</f>
        <v>198357.70529264095</v>
      </c>
      <c r="I28" s="183">
        <f>I14+I21+I27</f>
        <v>409867.38</v>
      </c>
      <c r="J28" s="183">
        <f>J14+J21+J27</f>
        <v>294036</v>
      </c>
      <c r="K28" s="185">
        <f>K14+K21+K27</f>
        <v>0</v>
      </c>
      <c r="L28" s="189">
        <f>L14+L21+L27</f>
        <v>902261.08529264096</v>
      </c>
      <c r="M28" s="190"/>
    </row>
    <row r="29" spans="1:15" s="14" customFormat="1" ht="15" thickBot="1" x14ac:dyDescent="0.4">
      <c r="A29" s="248" t="s">
        <v>46</v>
      </c>
      <c r="B29" s="249"/>
      <c r="C29" s="249"/>
      <c r="D29" s="249"/>
      <c r="E29" s="249"/>
      <c r="F29" s="249"/>
      <c r="G29" s="249"/>
      <c r="H29" s="249"/>
      <c r="I29" s="249"/>
      <c r="J29" s="249"/>
      <c r="K29" s="249"/>
      <c r="L29" s="249"/>
      <c r="M29" s="250"/>
    </row>
    <row r="30" spans="1:15" s="14" customFormat="1" x14ac:dyDescent="0.35">
      <c r="A30" s="240" t="s">
        <v>47</v>
      </c>
      <c r="B30" s="241"/>
      <c r="C30" s="241"/>
      <c r="D30" s="241"/>
      <c r="E30" s="241"/>
      <c r="F30" s="241"/>
      <c r="G30" s="241"/>
      <c r="H30" s="241"/>
      <c r="I30" s="241"/>
      <c r="J30" s="241"/>
      <c r="K30" s="241"/>
      <c r="L30" s="241"/>
      <c r="M30" s="242"/>
    </row>
    <row r="31" spans="1:15" s="14" customFormat="1" ht="84" x14ac:dyDescent="0.35">
      <c r="A31" s="19" t="s">
        <v>48</v>
      </c>
      <c r="B31" s="20" t="s">
        <v>49</v>
      </c>
      <c r="C31" s="44">
        <v>0</v>
      </c>
      <c r="D31" s="44">
        <v>75000</v>
      </c>
      <c r="E31" s="44">
        <v>50000</v>
      </c>
      <c r="F31" s="44">
        <v>0</v>
      </c>
      <c r="G31" s="34">
        <v>0.5</v>
      </c>
      <c r="H31" s="97">
        <v>0</v>
      </c>
      <c r="I31" s="97">
        <v>75328.205000000002</v>
      </c>
      <c r="J31" s="155">
        <v>51745</v>
      </c>
      <c r="K31" s="131"/>
      <c r="L31" s="45">
        <f>H31+I31+J31+K31</f>
        <v>127073.205</v>
      </c>
      <c r="M31" s="160"/>
      <c r="N31" s="15">
        <f>F31+E31+D31+C31</f>
        <v>125000</v>
      </c>
      <c r="O31" s="14">
        <f>N31*G31</f>
        <v>62500</v>
      </c>
    </row>
    <row r="32" spans="1:15" s="14" customFormat="1" ht="112" x14ac:dyDescent="0.35">
      <c r="A32" s="19" t="s">
        <v>50</v>
      </c>
      <c r="B32" s="20" t="s">
        <v>51</v>
      </c>
      <c r="C32" s="44">
        <v>0</v>
      </c>
      <c r="D32" s="44">
        <v>75000</v>
      </c>
      <c r="E32" s="44">
        <v>50000</v>
      </c>
      <c r="F32" s="44">
        <v>0</v>
      </c>
      <c r="G32" s="34">
        <v>0.5</v>
      </c>
      <c r="H32" s="97">
        <v>0</v>
      </c>
      <c r="I32" s="136">
        <v>75499.574999999997</v>
      </c>
      <c r="J32" s="155">
        <v>51000</v>
      </c>
      <c r="K32" s="131"/>
      <c r="L32" s="45">
        <f>H32+I32+J32+K32</f>
        <v>126499.575</v>
      </c>
      <c r="M32" s="160"/>
      <c r="N32" s="15">
        <f>F32+E32+D32+C32</f>
        <v>125000</v>
      </c>
      <c r="O32" s="14">
        <f>N32*G32</f>
        <v>62500</v>
      </c>
    </row>
    <row r="33" spans="1:22" s="14" customFormat="1" ht="56" x14ac:dyDescent="0.35">
      <c r="A33" s="19" t="s">
        <v>52</v>
      </c>
      <c r="B33" s="20" t="s">
        <v>53</v>
      </c>
      <c r="C33" s="44">
        <v>15000</v>
      </c>
      <c r="D33" s="44">
        <v>50000</v>
      </c>
      <c r="E33" s="44">
        <v>0</v>
      </c>
      <c r="F33" s="44">
        <v>0</v>
      </c>
      <c r="G33" s="34">
        <v>0.5</v>
      </c>
      <c r="H33" s="97">
        <v>14097.111111111111</v>
      </c>
      <c r="I33" s="97">
        <v>50000</v>
      </c>
      <c r="J33" s="155">
        <v>0</v>
      </c>
      <c r="K33" s="162"/>
      <c r="L33" s="45">
        <f>H33+I33+J33+K33</f>
        <v>64097.111111111109</v>
      </c>
      <c r="M33" s="163"/>
      <c r="N33" s="15">
        <f>F33+E33+D33+C33</f>
        <v>65000</v>
      </c>
      <c r="O33" s="14">
        <f>N33*G33</f>
        <v>32500</v>
      </c>
    </row>
    <row r="34" spans="1:22" s="14" customFormat="1" ht="84" x14ac:dyDescent="0.35">
      <c r="A34" s="19" t="s">
        <v>54</v>
      </c>
      <c r="B34" s="20" t="s">
        <v>55</v>
      </c>
      <c r="C34" s="44">
        <v>0</v>
      </c>
      <c r="D34" s="44">
        <v>65000</v>
      </c>
      <c r="E34" s="44">
        <v>75000</v>
      </c>
      <c r="F34" s="44">
        <v>0</v>
      </c>
      <c r="G34" s="34">
        <v>1</v>
      </c>
      <c r="H34" s="97">
        <v>0</v>
      </c>
      <c r="I34" s="97">
        <v>66403.839999999997</v>
      </c>
      <c r="J34" s="155">
        <f>75000-430</f>
        <v>74570</v>
      </c>
      <c r="K34" s="162"/>
      <c r="L34" s="45">
        <f>H34+I34+J34+K34</f>
        <v>140973.84</v>
      </c>
      <c r="M34" s="163"/>
      <c r="N34" s="15">
        <f>F34+E34+D34+C34</f>
        <v>140000</v>
      </c>
      <c r="O34" s="14">
        <f>N34*G34</f>
        <v>140000</v>
      </c>
    </row>
    <row r="35" spans="1:22" s="14" customFormat="1" x14ac:dyDescent="0.35">
      <c r="A35" s="165" t="s">
        <v>56</v>
      </c>
      <c r="B35" s="42">
        <f>C35+D35+E35</f>
        <v>455000</v>
      </c>
      <c r="C35" s="43">
        <f>SUM(C31:C34)</f>
        <v>15000</v>
      </c>
      <c r="D35" s="43">
        <f>SUM(D31:D34)</f>
        <v>265000</v>
      </c>
      <c r="E35" s="43">
        <f>SUM(E31:E34)</f>
        <v>175000</v>
      </c>
      <c r="F35" s="181"/>
      <c r="G35" s="182"/>
      <c r="H35" s="43">
        <f>SUM(H31:H34)</f>
        <v>14097.111111111111</v>
      </c>
      <c r="I35" s="43">
        <f>SUM(I31:I34)</f>
        <v>267231.62</v>
      </c>
      <c r="J35" s="43">
        <f>SUM(J31:J34)</f>
        <v>177315</v>
      </c>
      <c r="K35" s="43">
        <f>SUM(K31:K34)</f>
        <v>0</v>
      </c>
      <c r="L35" s="191">
        <f>SUM(L31:L34)</f>
        <v>458643.73111111112</v>
      </c>
      <c r="M35" s="171"/>
    </row>
    <row r="36" spans="1:22" s="14" customFormat="1" x14ac:dyDescent="0.35">
      <c r="A36" s="234" t="s">
        <v>57</v>
      </c>
      <c r="B36" s="235"/>
      <c r="C36" s="235"/>
      <c r="D36" s="235"/>
      <c r="E36" s="235"/>
      <c r="F36" s="235"/>
      <c r="G36" s="235"/>
      <c r="H36" s="235"/>
      <c r="I36" s="235"/>
      <c r="J36" s="235"/>
      <c r="K36" s="235"/>
      <c r="L36" s="235"/>
      <c r="M36" s="236"/>
    </row>
    <row r="37" spans="1:22" s="14" customFormat="1" ht="98" x14ac:dyDescent="0.35">
      <c r="A37" s="19" t="s">
        <v>58</v>
      </c>
      <c r="B37" s="20" t="s">
        <v>59</v>
      </c>
      <c r="C37" s="172">
        <v>0</v>
      </c>
      <c r="D37" s="172">
        <v>50000</v>
      </c>
      <c r="E37" s="172">
        <v>40000</v>
      </c>
      <c r="F37" s="172">
        <v>0</v>
      </c>
      <c r="G37" s="192">
        <v>1</v>
      </c>
      <c r="H37" s="173">
        <v>0</v>
      </c>
      <c r="I37" s="153">
        <v>50000</v>
      </c>
      <c r="J37" s="156">
        <f>40000-3917</f>
        <v>36083</v>
      </c>
      <c r="K37" s="173">
        <v>0</v>
      </c>
      <c r="L37" s="175">
        <f>H37+I37+J37+K37</f>
        <v>86083</v>
      </c>
      <c r="M37" s="177"/>
      <c r="N37" s="15">
        <f>F37+E37+D37+C37</f>
        <v>90000</v>
      </c>
      <c r="O37" s="14">
        <f>N37*G37</f>
        <v>90000</v>
      </c>
    </row>
    <row r="38" spans="1:22" s="14" customFormat="1" ht="70" x14ac:dyDescent="0.35">
      <c r="A38" s="19" t="s">
        <v>60</v>
      </c>
      <c r="B38" s="20" t="s">
        <v>61</v>
      </c>
      <c r="C38" s="172">
        <v>0</v>
      </c>
      <c r="D38" s="172">
        <v>40000</v>
      </c>
      <c r="E38" s="172">
        <v>40000</v>
      </c>
      <c r="F38" s="172">
        <v>0</v>
      </c>
      <c r="G38" s="192">
        <v>0.3</v>
      </c>
      <c r="H38" s="173">
        <v>0</v>
      </c>
      <c r="I38" s="153">
        <v>40000</v>
      </c>
      <c r="J38" s="156">
        <v>35661</v>
      </c>
      <c r="K38" s="173">
        <v>0</v>
      </c>
      <c r="L38" s="175">
        <f>H38+I38+J38+K38</f>
        <v>75661</v>
      </c>
      <c r="M38" s="177"/>
      <c r="N38" s="15">
        <f>F38+E38+D38+C38</f>
        <v>80000</v>
      </c>
      <c r="O38" s="14">
        <f>N38*G38</f>
        <v>24000</v>
      </c>
    </row>
    <row r="39" spans="1:22" s="14" customFormat="1" ht="42" x14ac:dyDescent="0.35">
      <c r="A39" s="19" t="s">
        <v>62</v>
      </c>
      <c r="B39" s="20" t="s">
        <v>63</v>
      </c>
      <c r="C39" s="172">
        <v>0</v>
      </c>
      <c r="D39" s="172">
        <v>50000</v>
      </c>
      <c r="E39" s="172">
        <v>10000</v>
      </c>
      <c r="F39" s="172">
        <v>0</v>
      </c>
      <c r="G39" s="192">
        <v>0.6</v>
      </c>
      <c r="H39" s="173">
        <v>0</v>
      </c>
      <c r="I39" s="153">
        <v>50000</v>
      </c>
      <c r="J39" s="156">
        <v>10000</v>
      </c>
      <c r="K39" s="173">
        <v>0</v>
      </c>
      <c r="L39" s="175">
        <f>H39+I39+J39+K39</f>
        <v>60000</v>
      </c>
      <c r="M39" s="193"/>
      <c r="N39" s="15">
        <f>F39+E39+D39+C39</f>
        <v>60000</v>
      </c>
      <c r="O39" s="14">
        <f>N39*G39</f>
        <v>36000</v>
      </c>
    </row>
    <row r="40" spans="1:22" s="14" customFormat="1" ht="42" x14ac:dyDescent="0.35">
      <c r="A40" s="19" t="s">
        <v>64</v>
      </c>
      <c r="B40" s="20" t="s">
        <v>65</v>
      </c>
      <c r="C40" s="172">
        <v>0</v>
      </c>
      <c r="D40" s="172">
        <v>40000</v>
      </c>
      <c r="E40" s="172">
        <v>60000</v>
      </c>
      <c r="F40" s="172">
        <v>0</v>
      </c>
      <c r="G40" s="34">
        <v>0.9</v>
      </c>
      <c r="H40" s="173">
        <v>0</v>
      </c>
      <c r="I40" s="153">
        <v>40000</v>
      </c>
      <c r="J40" s="156">
        <f>60000-6137</f>
        <v>53863</v>
      </c>
      <c r="K40" s="173">
        <v>0</v>
      </c>
      <c r="L40" s="175">
        <f>H40+I40+J40+K40</f>
        <v>93863</v>
      </c>
      <c r="M40" s="10"/>
      <c r="N40" s="15">
        <f>F40+E40+D40+C40</f>
        <v>100000</v>
      </c>
      <c r="O40" s="14">
        <f>N40*G40</f>
        <v>90000</v>
      </c>
    </row>
    <row r="41" spans="1:22" s="14" customFormat="1" x14ac:dyDescent="0.35">
      <c r="A41" s="165" t="s">
        <v>66</v>
      </c>
      <c r="B41" s="46">
        <f>C41+D41+E41</f>
        <v>330000</v>
      </c>
      <c r="C41" s="46">
        <f>SUM(C37:C40)</f>
        <v>0</v>
      </c>
      <c r="D41" s="46">
        <f>SUM(D37:D40)</f>
        <v>180000</v>
      </c>
      <c r="E41" s="46">
        <f>SUM(E37:E40)</f>
        <v>150000</v>
      </c>
      <c r="F41" s="111"/>
      <c r="G41" s="182"/>
      <c r="H41" s="46">
        <f>SUM(H37:H40)</f>
        <v>0</v>
      </c>
      <c r="I41" s="46">
        <f>SUM(I37:I40)</f>
        <v>180000</v>
      </c>
      <c r="J41" s="46">
        <f>SUM(J37:J40)</f>
        <v>135607</v>
      </c>
      <c r="K41" s="46">
        <f>SUM(K37:K40)</f>
        <v>0</v>
      </c>
      <c r="L41" s="194">
        <f>SUM(L37:L40)</f>
        <v>315607</v>
      </c>
      <c r="M41" s="177"/>
    </row>
    <row r="42" spans="1:22" s="14" customFormat="1" ht="28.5" thickBot="1" x14ac:dyDescent="0.4">
      <c r="A42" s="184" t="s">
        <v>67</v>
      </c>
      <c r="B42" s="195">
        <f>C42+D42+E42</f>
        <v>785000</v>
      </c>
      <c r="C42" s="195">
        <f>C35+C41</f>
        <v>15000</v>
      </c>
      <c r="D42" s="195">
        <f>D35+D41</f>
        <v>445000</v>
      </c>
      <c r="E42" s="195">
        <f>E35+E41</f>
        <v>325000</v>
      </c>
      <c r="F42" s="196"/>
      <c r="G42" s="197"/>
      <c r="H42" s="195">
        <f>H35+H41</f>
        <v>14097.111111111111</v>
      </c>
      <c r="I42" s="46">
        <f>I35+I41</f>
        <v>447231.62</v>
      </c>
      <c r="J42" s="46">
        <f>J35+J41</f>
        <v>312922</v>
      </c>
      <c r="K42" s="195">
        <v>0</v>
      </c>
      <c r="L42" s="198">
        <f>L35+L41</f>
        <v>774250.73111111112</v>
      </c>
      <c r="M42" s="199"/>
    </row>
    <row r="43" spans="1:22" s="14" customFormat="1" ht="15" thickBot="1" x14ac:dyDescent="0.4">
      <c r="A43" s="237" t="s">
        <v>68</v>
      </c>
      <c r="B43" s="238"/>
      <c r="C43" s="238"/>
      <c r="D43" s="238"/>
      <c r="E43" s="238"/>
      <c r="F43" s="238"/>
      <c r="G43" s="238"/>
      <c r="H43" s="238"/>
      <c r="I43" s="238"/>
      <c r="J43" s="238"/>
      <c r="K43" s="238"/>
      <c r="L43" s="238"/>
      <c r="M43" s="239"/>
    </row>
    <row r="44" spans="1:22" s="14" customFormat="1" x14ac:dyDescent="0.35">
      <c r="A44" s="240" t="s">
        <v>69</v>
      </c>
      <c r="B44" s="241"/>
      <c r="C44" s="241"/>
      <c r="D44" s="241"/>
      <c r="E44" s="241"/>
      <c r="F44" s="241"/>
      <c r="G44" s="241"/>
      <c r="H44" s="241"/>
      <c r="I44" s="241"/>
      <c r="J44" s="241"/>
      <c r="K44" s="241"/>
      <c r="L44" s="241"/>
      <c r="M44" s="242"/>
    </row>
    <row r="45" spans="1:22" s="22" customFormat="1" ht="42" x14ac:dyDescent="0.35">
      <c r="A45" s="200" t="s">
        <v>115</v>
      </c>
      <c r="B45" s="10" t="s">
        <v>70</v>
      </c>
      <c r="C45" s="44">
        <v>0</v>
      </c>
      <c r="D45" s="44">
        <v>0</v>
      </c>
      <c r="E45" s="44">
        <v>0</v>
      </c>
      <c r="F45" s="44">
        <v>638000</v>
      </c>
      <c r="G45" s="201">
        <v>0.3</v>
      </c>
      <c r="H45" s="162">
        <v>0</v>
      </c>
      <c r="I45" s="97">
        <v>0</v>
      </c>
      <c r="J45" s="162">
        <v>0</v>
      </c>
      <c r="K45" s="97">
        <f>581831.79+18589.69+38709.93+192.12</f>
        <v>639323.53</v>
      </c>
      <c r="L45" s="45">
        <f>H45+I45+J45+K45</f>
        <v>639323.53</v>
      </c>
      <c r="M45" s="177"/>
      <c r="N45" s="15">
        <f>F45+E45+D45+C45</f>
        <v>638000</v>
      </c>
      <c r="O45" s="14">
        <f>N45*G45</f>
        <v>191400</v>
      </c>
      <c r="P45" s="21"/>
      <c r="Q45" s="21"/>
      <c r="R45" s="21"/>
      <c r="S45" s="21"/>
      <c r="T45" s="21"/>
      <c r="U45" s="21"/>
      <c r="V45" s="21"/>
    </row>
    <row r="46" spans="1:22" s="22" customFormat="1" ht="57" customHeight="1" x14ac:dyDescent="0.35">
      <c r="A46" s="200" t="s">
        <v>116</v>
      </c>
      <c r="B46" s="10" t="s">
        <v>117</v>
      </c>
      <c r="C46" s="44">
        <v>0</v>
      </c>
      <c r="D46" s="44">
        <v>0</v>
      </c>
      <c r="E46" s="44">
        <v>0</v>
      </c>
      <c r="F46" s="44">
        <v>27000</v>
      </c>
      <c r="G46" s="201">
        <v>0.3</v>
      </c>
      <c r="H46" s="162">
        <v>0</v>
      </c>
      <c r="I46" s="97">
        <v>0</v>
      </c>
      <c r="J46" s="162">
        <v>0</v>
      </c>
      <c r="K46" s="97">
        <v>0</v>
      </c>
      <c r="L46" s="202">
        <f>H46+I46+J46+K46</f>
        <v>0</v>
      </c>
      <c r="M46" s="177"/>
      <c r="N46" s="15"/>
      <c r="O46" s="14"/>
      <c r="P46" s="21"/>
      <c r="Q46" s="21"/>
      <c r="R46" s="21"/>
      <c r="S46" s="21"/>
      <c r="T46" s="21"/>
      <c r="U46" s="21"/>
      <c r="V46" s="21"/>
    </row>
    <row r="47" spans="1:22" s="14" customFormat="1" x14ac:dyDescent="0.35">
      <c r="A47" s="234" t="s">
        <v>71</v>
      </c>
      <c r="B47" s="235"/>
      <c r="C47" s="235"/>
      <c r="D47" s="235"/>
      <c r="E47" s="235"/>
      <c r="F47" s="235"/>
      <c r="G47" s="235"/>
      <c r="H47" s="235"/>
      <c r="I47" s="235"/>
      <c r="J47" s="235"/>
      <c r="K47" s="235"/>
      <c r="L47" s="235"/>
      <c r="M47" s="236"/>
    </row>
    <row r="48" spans="1:22" s="14" customFormat="1" ht="26" customHeight="1" x14ac:dyDescent="0.35">
      <c r="A48" s="18" t="s">
        <v>118</v>
      </c>
      <c r="B48" s="203" t="s">
        <v>72</v>
      </c>
      <c r="C48" s="97">
        <v>0</v>
      </c>
      <c r="D48" s="97">
        <v>0</v>
      </c>
      <c r="E48" s="97">
        <v>0</v>
      </c>
      <c r="F48" s="97">
        <v>15000</v>
      </c>
      <c r="G48" s="201">
        <v>0.15</v>
      </c>
      <c r="H48" s="162">
        <v>0</v>
      </c>
      <c r="I48" s="97">
        <v>0</v>
      </c>
      <c r="J48" s="162">
        <v>0</v>
      </c>
      <c r="K48" s="97">
        <f>18727.58+15271.15</f>
        <v>33998.730000000003</v>
      </c>
      <c r="L48" s="45">
        <f>H48+I48+J48+K48</f>
        <v>33998.730000000003</v>
      </c>
      <c r="M48" s="177"/>
      <c r="N48" s="15">
        <f>F48+E48+D48+C48</f>
        <v>15000</v>
      </c>
      <c r="O48" s="14">
        <f>N48*G48</f>
        <v>2250</v>
      </c>
    </row>
    <row r="49" spans="1:16" s="14" customFormat="1" ht="20.5" customHeight="1" x14ac:dyDescent="0.35">
      <c r="A49" s="18" t="s">
        <v>119</v>
      </c>
      <c r="B49" s="204" t="s">
        <v>120</v>
      </c>
      <c r="C49" s="97">
        <v>0</v>
      </c>
      <c r="D49" s="97">
        <v>0</v>
      </c>
      <c r="E49" s="97">
        <v>0</v>
      </c>
      <c r="F49" s="97">
        <v>40000</v>
      </c>
      <c r="G49" s="201">
        <v>0.15</v>
      </c>
      <c r="H49" s="162">
        <v>0</v>
      </c>
      <c r="I49" s="97">
        <v>0</v>
      </c>
      <c r="J49" s="162">
        <v>0</v>
      </c>
      <c r="K49" s="97">
        <v>0</v>
      </c>
      <c r="L49" s="45">
        <f>H49+I49+J49+K49</f>
        <v>0</v>
      </c>
      <c r="M49" s="177"/>
      <c r="N49" s="15"/>
    </row>
    <row r="50" spans="1:16" s="14" customFormat="1" x14ac:dyDescent="0.35">
      <c r="A50" s="234" t="s">
        <v>73</v>
      </c>
      <c r="B50" s="235"/>
      <c r="C50" s="235"/>
      <c r="D50" s="235"/>
      <c r="E50" s="235"/>
      <c r="F50" s="235"/>
      <c r="G50" s="235"/>
      <c r="H50" s="235"/>
      <c r="I50" s="235"/>
      <c r="J50" s="235"/>
      <c r="K50" s="235"/>
      <c r="L50" s="235"/>
      <c r="M50" s="236"/>
    </row>
    <row r="51" spans="1:16" s="14" customFormat="1" x14ac:dyDescent="0.35">
      <c r="A51" s="18" t="s">
        <v>74</v>
      </c>
      <c r="B51" s="203" t="s">
        <v>75</v>
      </c>
      <c r="C51" s="97">
        <v>0</v>
      </c>
      <c r="D51" s="97">
        <v>0</v>
      </c>
      <c r="E51" s="97">
        <v>0</v>
      </c>
      <c r="F51" s="97">
        <v>5000</v>
      </c>
      <c r="G51" s="201">
        <v>0.15</v>
      </c>
      <c r="H51" s="162">
        <v>0</v>
      </c>
      <c r="I51" s="97">
        <v>0</v>
      </c>
      <c r="J51" s="162">
        <v>0</v>
      </c>
      <c r="K51" s="97">
        <v>0</v>
      </c>
      <c r="L51" s="45">
        <f>H51+I51+J51+K51</f>
        <v>0</v>
      </c>
      <c r="M51" s="205"/>
      <c r="N51" s="15">
        <f>F51+E51+D51+C51</f>
        <v>5000</v>
      </c>
      <c r="O51" s="14">
        <f>N51*G51</f>
        <v>750</v>
      </c>
    </row>
    <row r="52" spans="1:16" s="23" customFormat="1" x14ac:dyDescent="0.35">
      <c r="A52" s="165" t="s">
        <v>76</v>
      </c>
      <c r="B52" s="43">
        <f>C52+D52+E52</f>
        <v>0</v>
      </c>
      <c r="C52" s="43">
        <f>SUM(C45:C51)</f>
        <v>0</v>
      </c>
      <c r="D52" s="43">
        <f t="shared" ref="D52:L52" si="0">SUM(D45:D51)</f>
        <v>0</v>
      </c>
      <c r="E52" s="43">
        <f t="shared" si="0"/>
        <v>0</v>
      </c>
      <c r="F52" s="181">
        <f t="shared" si="0"/>
        <v>725000</v>
      </c>
      <c r="G52" s="43">
        <v>0</v>
      </c>
      <c r="H52" s="43">
        <f t="shared" si="0"/>
        <v>0</v>
      </c>
      <c r="I52" s="43">
        <f t="shared" si="0"/>
        <v>0</v>
      </c>
      <c r="J52" s="43">
        <f t="shared" si="0"/>
        <v>0</v>
      </c>
      <c r="K52" s="43">
        <f>SUM(K45:K51)</f>
        <v>673322.26</v>
      </c>
      <c r="L52" s="43">
        <f t="shared" si="0"/>
        <v>673322.26</v>
      </c>
      <c r="M52" s="171"/>
    </row>
    <row r="53" spans="1:16" s="14" customFormat="1" ht="56" x14ac:dyDescent="0.35">
      <c r="A53" s="19" t="s">
        <v>77</v>
      </c>
      <c r="B53" s="20" t="s">
        <v>78</v>
      </c>
      <c r="C53" s="162">
        <v>81000</v>
      </c>
      <c r="D53" s="97">
        <v>126000</v>
      </c>
      <c r="E53" s="206">
        <v>40000</v>
      </c>
      <c r="F53" s="97">
        <v>0</v>
      </c>
      <c r="G53" s="164">
        <v>0</v>
      </c>
      <c r="H53" s="97">
        <v>40392.664851058173</v>
      </c>
      <c r="I53" s="136">
        <v>88889.03</v>
      </c>
      <c r="J53" s="158">
        <f>48118</f>
        <v>48118</v>
      </c>
      <c r="K53" s="181">
        <v>0</v>
      </c>
      <c r="L53" s="45">
        <f>H53+I53+J53+K53</f>
        <v>177399.69485105819</v>
      </c>
      <c r="M53" s="177"/>
      <c r="N53" s="15">
        <f>F53+E53+D53+C53</f>
        <v>247000</v>
      </c>
      <c r="O53" s="14">
        <f>N53*G53</f>
        <v>0</v>
      </c>
    </row>
    <row r="54" spans="1:16" s="14" customFormat="1" ht="57.5" customHeight="1" x14ac:dyDescent="0.35">
      <c r="A54" s="19" t="s">
        <v>79</v>
      </c>
      <c r="B54" s="10" t="s">
        <v>80</v>
      </c>
      <c r="C54" s="162">
        <v>59617</v>
      </c>
      <c r="D54" s="97">
        <v>80000</v>
      </c>
      <c r="E54" s="162">
        <v>135000</v>
      </c>
      <c r="F54" s="97">
        <v>115000</v>
      </c>
      <c r="G54" s="164">
        <v>0</v>
      </c>
      <c r="H54" s="97">
        <v>35751.58</v>
      </c>
      <c r="I54" s="136">
        <v>82043.489999999991</v>
      </c>
      <c r="J54" s="158">
        <f>85140.35</f>
        <v>85140.35</v>
      </c>
      <c r="K54" s="136">
        <v>86810.8</v>
      </c>
      <c r="L54" s="45">
        <f>H54+I54+J54+K54</f>
        <v>289746.21999999997</v>
      </c>
      <c r="M54" s="207"/>
      <c r="N54" s="15">
        <f>F54+E54+D54+C54</f>
        <v>389617</v>
      </c>
      <c r="O54" s="14">
        <f>N54*G54</f>
        <v>0</v>
      </c>
    </row>
    <row r="55" spans="1:16" s="14" customFormat="1" ht="28" x14ac:dyDescent="0.35">
      <c r="A55" s="19" t="s">
        <v>81</v>
      </c>
      <c r="B55" s="20" t="s">
        <v>82</v>
      </c>
      <c r="C55" s="97">
        <v>23000</v>
      </c>
      <c r="D55" s="97">
        <v>43000</v>
      </c>
      <c r="E55" s="97">
        <v>43000</v>
      </c>
      <c r="F55" s="97">
        <v>0</v>
      </c>
      <c r="G55" s="164">
        <v>0.15</v>
      </c>
      <c r="H55" s="97">
        <v>11303.93</v>
      </c>
      <c r="I55" s="97">
        <v>0</v>
      </c>
      <c r="J55" s="158">
        <v>0</v>
      </c>
      <c r="K55" s="97">
        <v>0</v>
      </c>
      <c r="L55" s="45">
        <f>H55+I55+J55+K55</f>
        <v>11303.93</v>
      </c>
      <c r="M55" s="177"/>
      <c r="N55" s="15">
        <f>F55+E55+D55+C55</f>
        <v>109000</v>
      </c>
      <c r="O55" s="14">
        <f>N55*G55</f>
        <v>16350</v>
      </c>
    </row>
    <row r="56" spans="1:16" s="14" customFormat="1" x14ac:dyDescent="0.35">
      <c r="A56" s="243" t="s">
        <v>83</v>
      </c>
      <c r="B56" s="244"/>
      <c r="C56" s="47">
        <v>0</v>
      </c>
      <c r="D56" s="47">
        <v>48000</v>
      </c>
      <c r="E56" s="47">
        <v>0</v>
      </c>
      <c r="F56" s="50">
        <v>0</v>
      </c>
      <c r="G56" s="38">
        <v>0.2</v>
      </c>
      <c r="H56" s="47"/>
      <c r="I56" s="88">
        <v>56871.64</v>
      </c>
      <c r="J56" s="88">
        <v>0</v>
      </c>
      <c r="K56" s="47">
        <v>0</v>
      </c>
      <c r="L56" s="41">
        <f>H56+I56+J56+K56</f>
        <v>56871.64</v>
      </c>
      <c r="M56" s="108"/>
      <c r="N56" s="15">
        <f>F56+E56+D56+C56</f>
        <v>48000</v>
      </c>
      <c r="O56" s="14">
        <f>N56*G56</f>
        <v>9600</v>
      </c>
    </row>
    <row r="57" spans="1:16" s="14" customFormat="1" ht="42" x14ac:dyDescent="0.35">
      <c r="A57" s="24" t="s">
        <v>84</v>
      </c>
      <c r="B57" s="48">
        <f>SUM(C57:F57)</f>
        <v>3262617</v>
      </c>
      <c r="C57" s="48">
        <f>SUM(C28+C42+C52+C53+C54+C55)</f>
        <v>440617</v>
      </c>
      <c r="D57" s="48">
        <f>SUM(D28+D42+D52+D53+D54+D55+D56)</f>
        <v>1149000</v>
      </c>
      <c r="E57" s="48">
        <f>SUM(E28+E42+E52+E53+E54+E55)</f>
        <v>833000</v>
      </c>
      <c r="F57" s="51">
        <f>SUM(F28+F42+F52+F53+F54+F55)</f>
        <v>840000</v>
      </c>
      <c r="G57" s="35"/>
      <c r="H57" s="105">
        <f>SUM(H28+H42+H52+H53+H54+H55)</f>
        <v>299902.99125481024</v>
      </c>
      <c r="I57" s="105">
        <f>SUM(I28+I42+I52+I53+I54+I55+I56)</f>
        <v>1084903.1599999999</v>
      </c>
      <c r="J57" s="105">
        <f>SUM(J28+J42+J52+J53+J54+J55+J56)</f>
        <v>740216.35</v>
      </c>
      <c r="K57" s="132">
        <f>SUM(K28+K42+K52+K53+K54+K55+K56)</f>
        <v>760133.06</v>
      </c>
      <c r="L57" s="126">
        <f>SUM(L28+L42+L52+L53+L54+L55+L56)</f>
        <v>2885155.5612548105</v>
      </c>
      <c r="M57" s="25" t="s">
        <v>85</v>
      </c>
      <c r="O57" s="14">
        <f>SUM(O9:O56)</f>
        <v>1342750</v>
      </c>
      <c r="P57" s="26"/>
    </row>
    <row r="58" spans="1:16" s="14" customFormat="1" ht="28" x14ac:dyDescent="0.35">
      <c r="A58" s="24" t="s">
        <v>86</v>
      </c>
      <c r="B58" s="48">
        <f>SUM(C58:F58)</f>
        <v>228383.19000000003</v>
      </c>
      <c r="C58" s="48">
        <f>C57*0.07</f>
        <v>30843.190000000002</v>
      </c>
      <c r="D58" s="48">
        <f>D57*0.07</f>
        <v>80430.000000000015</v>
      </c>
      <c r="E58" s="48">
        <f>E57*0.07</f>
        <v>58310.000000000007</v>
      </c>
      <c r="F58" s="51">
        <f>F57*0.07</f>
        <v>58800.000000000007</v>
      </c>
      <c r="G58" s="36"/>
      <c r="H58" s="48">
        <f>H57*0.07</f>
        <v>20993.20938783672</v>
      </c>
      <c r="I58" s="105">
        <v>75873.280700000003</v>
      </c>
      <c r="J58" s="159">
        <v>53552.74</v>
      </c>
      <c r="K58" s="133">
        <v>49408.65</v>
      </c>
      <c r="L58" s="126">
        <f>H58+I58+J58+K58</f>
        <v>199827.8800878367</v>
      </c>
      <c r="M58" s="25" t="s">
        <v>85</v>
      </c>
    </row>
    <row r="59" spans="1:16" s="14" customFormat="1" ht="42.5" thickBot="1" x14ac:dyDescent="0.4">
      <c r="A59" s="27" t="s">
        <v>87</v>
      </c>
      <c r="B59" s="49">
        <f>SUM(C59:F59)</f>
        <v>3491000.19</v>
      </c>
      <c r="C59" s="49">
        <f>C57+C58</f>
        <v>471460.19</v>
      </c>
      <c r="D59" s="49">
        <f>D57+D58</f>
        <v>1229430</v>
      </c>
      <c r="E59" s="49">
        <f>E57+E58</f>
        <v>891310</v>
      </c>
      <c r="F59" s="112">
        <f>F57+F58</f>
        <v>898800</v>
      </c>
      <c r="G59" s="37"/>
      <c r="H59" s="116">
        <f>H57+H58</f>
        <v>320896.20064264699</v>
      </c>
      <c r="I59" s="134">
        <f>I57+I58</f>
        <v>1160776.4406999999</v>
      </c>
      <c r="J59" s="134">
        <f>J57+J58</f>
        <v>793769.09</v>
      </c>
      <c r="K59" s="116">
        <f>K57+K58</f>
        <v>809541.71000000008</v>
      </c>
      <c r="L59" s="127">
        <f>L57+L58</f>
        <v>3084983.4413426472</v>
      </c>
      <c r="M59" s="98"/>
    </row>
    <row r="60" spans="1:16" x14ac:dyDescent="0.35">
      <c r="L60" s="86"/>
    </row>
    <row r="61" spans="1:16" x14ac:dyDescent="0.35">
      <c r="I61" s="113"/>
      <c r="J61" s="118"/>
      <c r="L61" s="28"/>
    </row>
    <row r="62" spans="1:16" x14ac:dyDescent="0.35">
      <c r="I62" s="114"/>
      <c r="J62" s="119"/>
      <c r="L62" s="29"/>
      <c r="M62" s="135"/>
    </row>
    <row r="63" spans="1:16" x14ac:dyDescent="0.35">
      <c r="I63" s="115"/>
      <c r="J63" s="120"/>
    </row>
    <row r="65" spans="8:10" x14ac:dyDescent="0.35">
      <c r="H65" s="121"/>
      <c r="I65" s="114"/>
      <c r="J65" s="119"/>
    </row>
  </sheetData>
  <mergeCells count="12">
    <mergeCell ref="A8:M8"/>
    <mergeCell ref="A29:M29"/>
    <mergeCell ref="A9:M9"/>
    <mergeCell ref="A22:M22"/>
    <mergeCell ref="A30:M30"/>
    <mergeCell ref="A36:M36"/>
    <mergeCell ref="A15:M15"/>
    <mergeCell ref="A43:M43"/>
    <mergeCell ref="A44:M44"/>
    <mergeCell ref="A56:B56"/>
    <mergeCell ref="A47:M47"/>
    <mergeCell ref="A50:M50"/>
  </mergeCells>
  <phoneticPr fontId="2" type="noConversion"/>
  <pageMargins left="0.7" right="0.7" top="0.75" bottom="0.75" header="0.3" footer="0.3"/>
  <pageSetup paperSize="9" scale="14" fitToHeight="10" orientation="landscape" r:id="rId1"/>
  <rowBreaks count="1" manualBreakCount="1">
    <brk id="57"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75"/>
  <sheetViews>
    <sheetView tabSelected="1" topLeftCell="A2" zoomScale="110" zoomScaleNormal="110" workbookViewId="0">
      <pane xSplit="1" ySplit="4" topLeftCell="U10" activePane="bottomRight" state="frozen"/>
      <selection activeCell="A2" sqref="A2"/>
      <selection pane="topRight" activeCell="B2" sqref="B2"/>
      <selection pane="bottomLeft" activeCell="A6" sqref="A6"/>
      <selection pane="bottomRight" activeCell="AB14" sqref="AB14"/>
    </sheetView>
  </sheetViews>
  <sheetFormatPr defaultColWidth="10.7265625" defaultRowHeight="14" x14ac:dyDescent="0.35"/>
  <cols>
    <col min="1" max="1" width="15.453125" style="53" customWidth="1"/>
    <col min="2" max="15" width="9.26953125" style="53" customWidth="1"/>
    <col min="16" max="17" width="11.453125" style="53" customWidth="1"/>
    <col min="18" max="21" width="9.26953125" style="53" customWidth="1"/>
    <col min="22" max="22" width="9.453125" style="53" customWidth="1"/>
    <col min="23" max="23" width="17.1796875" style="53" customWidth="1"/>
    <col min="24" max="24" width="13.90625" style="53" customWidth="1"/>
    <col min="25" max="25" width="13.81640625" style="138" customWidth="1"/>
    <col min="26" max="26" width="12.81640625" style="137" customWidth="1"/>
    <col min="27" max="27" width="12.90625" style="53" customWidth="1"/>
    <col min="28" max="28" width="13" style="53" customWidth="1"/>
    <col min="29" max="29" width="14.54296875" style="53" customWidth="1"/>
    <col min="30" max="30" width="12.26953125" style="53" bestFit="1" customWidth="1"/>
    <col min="31" max="31" width="14.1796875" style="53" bestFit="1" customWidth="1"/>
    <col min="32" max="16384" width="10.7265625" style="53"/>
  </cols>
  <sheetData>
    <row r="1" spans="1:32" ht="20.25" hidden="1" customHeight="1" x14ac:dyDescent="0.35">
      <c r="A1" s="30" t="s">
        <v>0</v>
      </c>
      <c r="B1" s="52"/>
      <c r="C1" s="52"/>
      <c r="D1" s="52"/>
      <c r="E1" s="52"/>
      <c r="F1" s="52"/>
      <c r="G1" s="52"/>
      <c r="H1" s="52"/>
      <c r="I1" s="52"/>
    </row>
    <row r="2" spans="1:32" x14ac:dyDescent="0.35">
      <c r="A2" s="54"/>
      <c r="B2" s="54"/>
      <c r="C2" s="54"/>
      <c r="D2" s="54"/>
      <c r="E2" s="54"/>
      <c r="F2" s="54"/>
      <c r="G2" s="54"/>
      <c r="H2" s="54"/>
      <c r="I2" s="54"/>
    </row>
    <row r="3" spans="1:32" ht="14.5" thickBot="1" x14ac:dyDescent="0.4"/>
    <row r="4" spans="1:32" ht="23" x14ac:dyDescent="0.35">
      <c r="A4" s="258" t="s">
        <v>88</v>
      </c>
      <c r="B4" s="260" t="s">
        <v>6</v>
      </c>
      <c r="C4" s="260"/>
      <c r="D4" s="260"/>
      <c r="E4" s="260"/>
      <c r="F4" s="260"/>
      <c r="G4" s="260"/>
      <c r="H4" s="261" t="s">
        <v>7</v>
      </c>
      <c r="I4" s="262"/>
      <c r="J4" s="262"/>
      <c r="K4" s="262"/>
      <c r="L4" s="262"/>
      <c r="M4" s="263"/>
      <c r="N4" s="254" t="s">
        <v>89</v>
      </c>
      <c r="O4" s="254"/>
      <c r="P4" s="264" t="s">
        <v>8</v>
      </c>
      <c r="Q4" s="265"/>
      <c r="R4" s="265"/>
      <c r="S4" s="265"/>
      <c r="T4" s="265"/>
      <c r="U4" s="266"/>
      <c r="V4" s="109" t="s">
        <v>90</v>
      </c>
      <c r="W4" s="109" t="s">
        <v>91</v>
      </c>
      <c r="X4" s="254" t="s">
        <v>92</v>
      </c>
      <c r="Y4" s="256" t="s">
        <v>93</v>
      </c>
      <c r="Z4" s="256"/>
      <c r="AA4" s="256"/>
      <c r="AB4" s="256"/>
      <c r="AC4" s="257"/>
    </row>
    <row r="5" spans="1:32" ht="35" thickBot="1" x14ac:dyDescent="0.4">
      <c r="A5" s="259"/>
      <c r="B5" s="55" t="s">
        <v>94</v>
      </c>
      <c r="C5" s="56" t="s">
        <v>95</v>
      </c>
      <c r="D5" s="55" t="s">
        <v>96</v>
      </c>
      <c r="E5" s="56" t="s">
        <v>97</v>
      </c>
      <c r="F5" s="55" t="s">
        <v>98</v>
      </c>
      <c r="G5" s="56" t="s">
        <v>99</v>
      </c>
      <c r="H5" s="55" t="s">
        <v>100</v>
      </c>
      <c r="I5" s="56" t="s">
        <v>95</v>
      </c>
      <c r="J5" s="55" t="s">
        <v>101</v>
      </c>
      <c r="K5" s="56" t="s">
        <v>97</v>
      </c>
      <c r="L5" s="55" t="s">
        <v>98</v>
      </c>
      <c r="M5" s="56" t="s">
        <v>99</v>
      </c>
      <c r="N5" s="55" t="s">
        <v>102</v>
      </c>
      <c r="O5" s="55" t="s">
        <v>103</v>
      </c>
      <c r="P5" s="55" t="s">
        <v>104</v>
      </c>
      <c r="Q5" s="56" t="s">
        <v>95</v>
      </c>
      <c r="R5" s="55" t="s">
        <v>101</v>
      </c>
      <c r="S5" s="56" t="s">
        <v>97</v>
      </c>
      <c r="T5" s="55" t="s">
        <v>98</v>
      </c>
      <c r="U5" s="56" t="s">
        <v>99</v>
      </c>
      <c r="V5" s="55" t="s">
        <v>102</v>
      </c>
      <c r="W5" s="55" t="s">
        <v>103</v>
      </c>
      <c r="X5" s="255"/>
      <c r="Y5" s="139" t="s">
        <v>6</v>
      </c>
      <c r="Z5" s="139" t="s">
        <v>7</v>
      </c>
      <c r="AA5" s="57" t="s">
        <v>5</v>
      </c>
      <c r="AB5" s="117" t="s">
        <v>121</v>
      </c>
      <c r="AC5" s="58" t="s">
        <v>105</v>
      </c>
    </row>
    <row r="6" spans="1:32" ht="23" x14ac:dyDescent="0.35">
      <c r="A6" s="231" t="s">
        <v>106</v>
      </c>
      <c r="B6" s="60">
        <v>112700</v>
      </c>
      <c r="C6" s="61">
        <v>121800</v>
      </c>
      <c r="D6" s="60">
        <v>48300</v>
      </c>
      <c r="E6" s="61">
        <f>174000-C6</f>
        <v>52200</v>
      </c>
      <c r="F6" s="60">
        <f t="shared" ref="F6:G12" si="0">B6+D6</f>
        <v>161000</v>
      </c>
      <c r="G6" s="61">
        <f>C6+E6</f>
        <v>174000</v>
      </c>
      <c r="H6" s="84">
        <v>60000</v>
      </c>
      <c r="I6" s="91">
        <v>56529</v>
      </c>
      <c r="J6" s="84">
        <v>18000</v>
      </c>
      <c r="K6" s="208">
        <f>18000+3471</f>
        <v>21471</v>
      </c>
      <c r="L6" s="209">
        <f>H6+J6</f>
        <v>78000</v>
      </c>
      <c r="M6" s="208">
        <f>I6+K6</f>
        <v>78000</v>
      </c>
      <c r="N6" s="60">
        <v>58547</v>
      </c>
      <c r="O6" s="60">
        <v>25079</v>
      </c>
      <c r="P6" s="60">
        <v>539000</v>
      </c>
      <c r="Q6" s="74">
        <v>405808.2</v>
      </c>
      <c r="R6" s="60">
        <v>231000</v>
      </c>
      <c r="S6" s="74">
        <v>173917.8</v>
      </c>
      <c r="T6" s="60">
        <f>P6+R6</f>
        <v>770000</v>
      </c>
      <c r="U6" s="74">
        <f>Q6+S6</f>
        <v>579726</v>
      </c>
      <c r="V6" s="60">
        <f>B6+H6+N6+P6</f>
        <v>770247</v>
      </c>
      <c r="W6" s="60">
        <f>D6+J6+O6+R6</f>
        <v>322379</v>
      </c>
      <c r="X6" s="60">
        <f>V6+W6</f>
        <v>1092626</v>
      </c>
      <c r="Y6" s="140">
        <f>'Budget par resultats'!I53</f>
        <v>88889.03</v>
      </c>
      <c r="Z6" s="210">
        <v>-14376.58</v>
      </c>
      <c r="AA6" s="211">
        <v>40392.664851058173</v>
      </c>
      <c r="AB6" s="140">
        <v>581831.79</v>
      </c>
      <c r="AC6" s="128">
        <f>Y6+Z6+AA6+AB6</f>
        <v>696736.90485105827</v>
      </c>
      <c r="AD6" s="122"/>
    </row>
    <row r="7" spans="1:32" ht="34.5" x14ac:dyDescent="0.35">
      <c r="A7" s="232" t="s">
        <v>107</v>
      </c>
      <c r="B7" s="64">
        <v>21000</v>
      </c>
      <c r="C7" s="65">
        <v>51100</v>
      </c>
      <c r="D7" s="64">
        <v>9000</v>
      </c>
      <c r="E7" s="65">
        <f>73000-C7</f>
        <v>21900</v>
      </c>
      <c r="F7" s="64">
        <f t="shared" si="0"/>
        <v>30000</v>
      </c>
      <c r="G7" s="65">
        <f t="shared" si="0"/>
        <v>73000</v>
      </c>
      <c r="H7" s="67">
        <v>20000</v>
      </c>
      <c r="I7" s="92">
        <v>20000</v>
      </c>
      <c r="J7" s="67">
        <v>15000</v>
      </c>
      <c r="K7" s="212">
        <v>15000</v>
      </c>
      <c r="L7" s="209">
        <f t="shared" ref="L7:M12" si="1">H7+J7</f>
        <v>35000</v>
      </c>
      <c r="M7" s="208">
        <f t="shared" si="1"/>
        <v>35000</v>
      </c>
      <c r="N7" s="64">
        <v>22355</v>
      </c>
      <c r="O7" s="64">
        <v>9581</v>
      </c>
      <c r="P7" s="64">
        <v>7000</v>
      </c>
      <c r="Q7" s="66">
        <v>21000</v>
      </c>
      <c r="R7" s="64">
        <v>3000</v>
      </c>
      <c r="S7" s="66">
        <v>9000</v>
      </c>
      <c r="T7" s="60">
        <f t="shared" ref="T7:T12" si="2">P7+R7</f>
        <v>10000</v>
      </c>
      <c r="U7" s="74">
        <f t="shared" ref="U7:U12" si="3">Q7+S7</f>
        <v>30000</v>
      </c>
      <c r="V7" s="64">
        <f>B7+H7+N7+P7</f>
        <v>70355</v>
      </c>
      <c r="W7" s="64">
        <f>D7+J7+O7+R7</f>
        <v>36581</v>
      </c>
      <c r="X7" s="64">
        <f t="shared" ref="X7:X12" si="4">V7+W7</f>
        <v>106936</v>
      </c>
      <c r="Y7" s="64">
        <v>72500</v>
      </c>
      <c r="Z7" s="213">
        <v>16611.650000000001</v>
      </c>
      <c r="AA7" s="211">
        <v>12200.26</v>
      </c>
      <c r="AB7" s="141">
        <v>18589.689999999999</v>
      </c>
      <c r="AC7" s="128">
        <f t="shared" ref="AC7:AC12" si="5">Y7+Z7+AA7+AB7</f>
        <v>119901.59999999999</v>
      </c>
      <c r="AD7" s="122"/>
      <c r="AE7" s="83"/>
    </row>
    <row r="8" spans="1:32" ht="51.5" customHeight="1" x14ac:dyDescent="0.35">
      <c r="A8" s="232" t="s">
        <v>108</v>
      </c>
      <c r="B8" s="64">
        <v>24500</v>
      </c>
      <c r="C8" s="65">
        <v>24500</v>
      </c>
      <c r="D8" s="64">
        <v>10500</v>
      </c>
      <c r="E8" s="65">
        <f>35000-C8</f>
        <v>10500</v>
      </c>
      <c r="F8" s="64">
        <f t="shared" si="0"/>
        <v>35000</v>
      </c>
      <c r="G8" s="66">
        <f t="shared" si="0"/>
        <v>35000</v>
      </c>
      <c r="H8" s="67">
        <v>20000</v>
      </c>
      <c r="I8" s="92">
        <v>20000</v>
      </c>
      <c r="J8" s="67">
        <v>12500</v>
      </c>
      <c r="K8" s="212">
        <v>15000</v>
      </c>
      <c r="L8" s="209">
        <f t="shared" si="1"/>
        <v>32500</v>
      </c>
      <c r="M8" s="208">
        <f t="shared" si="1"/>
        <v>35000</v>
      </c>
      <c r="N8" s="64">
        <v>22708</v>
      </c>
      <c r="O8" s="64">
        <v>9732</v>
      </c>
      <c r="P8" s="64">
        <v>28000</v>
      </c>
      <c r="Q8" s="66">
        <v>73500</v>
      </c>
      <c r="R8" s="64">
        <v>12000</v>
      </c>
      <c r="S8" s="66">
        <v>31500</v>
      </c>
      <c r="T8" s="60">
        <f t="shared" si="2"/>
        <v>40000</v>
      </c>
      <c r="U8" s="74">
        <f t="shared" si="3"/>
        <v>105000</v>
      </c>
      <c r="V8" s="64">
        <f>B8+H8+N8+P8</f>
        <v>95208</v>
      </c>
      <c r="W8" s="64">
        <f>D8+J8+O8+R8</f>
        <v>44732</v>
      </c>
      <c r="X8" s="64">
        <f t="shared" si="4"/>
        <v>139940</v>
      </c>
      <c r="Y8" s="64">
        <v>32500</v>
      </c>
      <c r="Z8" s="213">
        <v>-50968.32</v>
      </c>
      <c r="AA8" s="214">
        <v>13730.59</v>
      </c>
      <c r="AB8" s="141">
        <v>86810.8</v>
      </c>
      <c r="AC8" s="128">
        <f t="shared" si="5"/>
        <v>82073.070000000007</v>
      </c>
      <c r="AD8" s="122"/>
      <c r="AE8" s="83"/>
    </row>
    <row r="9" spans="1:32" ht="23" x14ac:dyDescent="0.35">
      <c r="A9" s="63" t="s">
        <v>109</v>
      </c>
      <c r="B9" s="64">
        <v>17500</v>
      </c>
      <c r="C9" s="65">
        <f>49000-19500</f>
        <v>29500</v>
      </c>
      <c r="D9" s="64">
        <v>7500</v>
      </c>
      <c r="E9" s="65">
        <f>70000-C9</f>
        <v>40500</v>
      </c>
      <c r="F9" s="64">
        <f t="shared" si="0"/>
        <v>25000</v>
      </c>
      <c r="G9" s="65">
        <f t="shared" si="0"/>
        <v>70000</v>
      </c>
      <c r="H9" s="67">
        <v>37000</v>
      </c>
      <c r="I9" s="92">
        <f>157000-6986</f>
        <v>150014</v>
      </c>
      <c r="J9" s="67">
        <v>21310</v>
      </c>
      <c r="K9" s="212">
        <v>44939</v>
      </c>
      <c r="L9" s="209">
        <f t="shared" si="1"/>
        <v>58310</v>
      </c>
      <c r="M9" s="208">
        <f t="shared" si="1"/>
        <v>194953</v>
      </c>
      <c r="N9" s="64">
        <v>66500</v>
      </c>
      <c r="O9" s="64">
        <v>28500</v>
      </c>
      <c r="P9" s="64">
        <v>0</v>
      </c>
      <c r="Q9" s="66">
        <v>0</v>
      </c>
      <c r="R9" s="64">
        <v>0</v>
      </c>
      <c r="S9" s="66">
        <v>0</v>
      </c>
      <c r="T9" s="60">
        <f t="shared" si="2"/>
        <v>0</v>
      </c>
      <c r="U9" s="74">
        <f t="shared" si="3"/>
        <v>0</v>
      </c>
      <c r="V9" s="64">
        <f>B9+H9+N9+P9</f>
        <v>121000</v>
      </c>
      <c r="W9" s="64">
        <f>D9+J9+O9+R9</f>
        <v>57310</v>
      </c>
      <c r="X9" s="64">
        <f t="shared" si="4"/>
        <v>178310</v>
      </c>
      <c r="Y9" s="64">
        <v>62470.64</v>
      </c>
      <c r="Z9" s="213">
        <v>307115.09999999998</v>
      </c>
      <c r="AA9" s="214">
        <v>80454.816403752076</v>
      </c>
      <c r="AB9" s="64">
        <v>192.12</v>
      </c>
      <c r="AC9" s="128">
        <f t="shared" si="5"/>
        <v>450232.67640375206</v>
      </c>
      <c r="AD9" s="122"/>
      <c r="AE9" s="83"/>
    </row>
    <row r="10" spans="1:32" ht="23" x14ac:dyDescent="0.35">
      <c r="A10" s="232" t="s">
        <v>110</v>
      </c>
      <c r="B10" s="64">
        <v>98350</v>
      </c>
      <c r="C10" s="65">
        <f>74550+9750</f>
        <v>84300</v>
      </c>
      <c r="D10" s="64">
        <v>44250</v>
      </c>
      <c r="E10" s="65">
        <f>106500-C10</f>
        <v>22200</v>
      </c>
      <c r="F10" s="64">
        <f t="shared" si="0"/>
        <v>142600</v>
      </c>
      <c r="G10" s="65">
        <f t="shared" si="0"/>
        <v>106500</v>
      </c>
      <c r="H10" s="67">
        <v>50000</v>
      </c>
      <c r="I10" s="92">
        <v>50000</v>
      </c>
      <c r="J10" s="67">
        <v>20000</v>
      </c>
      <c r="K10" s="212">
        <v>20000</v>
      </c>
      <c r="L10" s="209">
        <f t="shared" si="1"/>
        <v>70000</v>
      </c>
      <c r="M10" s="208">
        <f t="shared" si="1"/>
        <v>70000</v>
      </c>
      <c r="N10" s="64">
        <v>46200</v>
      </c>
      <c r="O10" s="64">
        <v>19800</v>
      </c>
      <c r="P10" s="64">
        <v>14000</v>
      </c>
      <c r="Q10" s="66">
        <v>42000</v>
      </c>
      <c r="R10" s="64">
        <v>6000</v>
      </c>
      <c r="S10" s="66">
        <v>18000</v>
      </c>
      <c r="T10" s="60">
        <f t="shared" si="2"/>
        <v>20000</v>
      </c>
      <c r="U10" s="74">
        <f t="shared" si="3"/>
        <v>60000</v>
      </c>
      <c r="V10" s="64">
        <f>B10+H10+N10+P10</f>
        <v>208550</v>
      </c>
      <c r="W10" s="64">
        <f>D10+J10+O10+R10</f>
        <v>90050</v>
      </c>
      <c r="X10" s="64">
        <f>V10+W10</f>
        <v>298600</v>
      </c>
      <c r="Y10" s="64">
        <v>106000</v>
      </c>
      <c r="Z10" s="213">
        <v>148353.69</v>
      </c>
      <c r="AA10" s="211">
        <v>44376.36</v>
      </c>
      <c r="AB10" s="215">
        <v>18727.580000000002</v>
      </c>
      <c r="AC10" s="128">
        <f t="shared" si="5"/>
        <v>317457.63</v>
      </c>
      <c r="AD10" s="123"/>
      <c r="AE10" s="106"/>
    </row>
    <row r="11" spans="1:32" ht="34.5" x14ac:dyDescent="0.35">
      <c r="A11" s="232" t="s">
        <v>111</v>
      </c>
      <c r="B11" s="64">
        <v>462350</v>
      </c>
      <c r="C11" s="65">
        <f>448350+9750</f>
        <v>458100</v>
      </c>
      <c r="D11" s="64">
        <v>203050</v>
      </c>
      <c r="E11" s="65">
        <f>640500-C11</f>
        <v>182400</v>
      </c>
      <c r="F11" s="64">
        <f t="shared" si="0"/>
        <v>665400</v>
      </c>
      <c r="G11" s="65">
        <f t="shared" si="0"/>
        <v>640500</v>
      </c>
      <c r="H11" s="67">
        <v>400000</v>
      </c>
      <c r="I11" s="92">
        <v>260000</v>
      </c>
      <c r="J11" s="67">
        <v>120000</v>
      </c>
      <c r="K11" s="212">
        <v>90400</v>
      </c>
      <c r="L11" s="209">
        <f t="shared" si="1"/>
        <v>520000</v>
      </c>
      <c r="M11" s="208">
        <f t="shared" si="1"/>
        <v>350400</v>
      </c>
      <c r="N11" s="64">
        <v>50400</v>
      </c>
      <c r="O11" s="64">
        <v>21600</v>
      </c>
      <c r="P11" s="64">
        <v>0</v>
      </c>
      <c r="Q11" s="66">
        <v>0</v>
      </c>
      <c r="R11" s="64">
        <v>0</v>
      </c>
      <c r="S11" s="66">
        <v>0</v>
      </c>
      <c r="T11" s="60">
        <f t="shared" si="2"/>
        <v>0</v>
      </c>
      <c r="U11" s="74">
        <f>Q11+S11</f>
        <v>0</v>
      </c>
      <c r="V11" s="64">
        <f>B11+H11+N11</f>
        <v>912750</v>
      </c>
      <c r="W11" s="64">
        <f>D11+J11+O11</f>
        <v>344650</v>
      </c>
      <c r="X11" s="64">
        <f t="shared" si="4"/>
        <v>1257400</v>
      </c>
      <c r="Y11" s="141">
        <v>640500</v>
      </c>
      <c r="Z11" s="213">
        <v>72445.72</v>
      </c>
      <c r="AA11" s="211">
        <v>61693.05</v>
      </c>
      <c r="AB11" s="64">
        <v>15271.15</v>
      </c>
      <c r="AC11" s="128">
        <f>Y11+Z11+AA11+AB11</f>
        <v>789909.92</v>
      </c>
      <c r="AD11" s="122"/>
    </row>
    <row r="12" spans="1:32" ht="35" thickBot="1" x14ac:dyDescent="0.4">
      <c r="A12" s="233" t="s">
        <v>112</v>
      </c>
      <c r="B12" s="68">
        <v>63000</v>
      </c>
      <c r="C12" s="69">
        <f>35000-4900</f>
        <v>30100</v>
      </c>
      <c r="D12" s="68">
        <v>27000</v>
      </c>
      <c r="E12" s="69">
        <f>50000-C12</f>
        <v>19900</v>
      </c>
      <c r="F12" s="68">
        <f t="shared" si="0"/>
        <v>90000</v>
      </c>
      <c r="G12" s="69">
        <f t="shared" si="0"/>
        <v>50000</v>
      </c>
      <c r="H12" s="85">
        <v>20000</v>
      </c>
      <c r="I12" s="93">
        <v>50457</v>
      </c>
      <c r="J12" s="85">
        <v>19190</v>
      </c>
      <c r="K12" s="216">
        <v>19190</v>
      </c>
      <c r="L12" s="209">
        <f t="shared" si="1"/>
        <v>39190</v>
      </c>
      <c r="M12" s="208">
        <f t="shared" si="1"/>
        <v>69647</v>
      </c>
      <c r="N12" s="68">
        <v>41730</v>
      </c>
      <c r="O12" s="68">
        <v>17885</v>
      </c>
      <c r="P12" s="68">
        <v>0</v>
      </c>
      <c r="Q12" s="217">
        <v>45691.8</v>
      </c>
      <c r="R12" s="68">
        <v>0</v>
      </c>
      <c r="S12" s="217">
        <v>19582.2</v>
      </c>
      <c r="T12" s="60">
        <f t="shared" si="2"/>
        <v>0</v>
      </c>
      <c r="U12" s="74">
        <f t="shared" si="3"/>
        <v>65274</v>
      </c>
      <c r="V12" s="68">
        <f>B12+H12+N12</f>
        <v>124730</v>
      </c>
      <c r="W12" s="68">
        <f>D12+J12+O12</f>
        <v>64075</v>
      </c>
      <c r="X12" s="68">
        <f t="shared" si="4"/>
        <v>188805</v>
      </c>
      <c r="Y12" s="142">
        <f>'Budget par resultats'!I54</f>
        <v>82043.489999999991</v>
      </c>
      <c r="Z12" s="218">
        <v>261035.09</v>
      </c>
      <c r="AA12" s="211">
        <v>47055.51</v>
      </c>
      <c r="AB12" s="142">
        <v>38709.93</v>
      </c>
      <c r="AC12" s="128">
        <f t="shared" si="5"/>
        <v>428844.01999999996</v>
      </c>
      <c r="AD12" s="122"/>
    </row>
    <row r="13" spans="1:32" ht="14.5" thickBot="1" x14ac:dyDescent="0.4">
      <c r="A13" s="70" t="s">
        <v>113</v>
      </c>
      <c r="B13" s="71">
        <f t="shared" ref="B13:G13" si="6">SUM(B6:B12)</f>
        <v>799400</v>
      </c>
      <c r="C13" s="72">
        <f t="shared" si="6"/>
        <v>799400</v>
      </c>
      <c r="D13" s="71">
        <f t="shared" si="6"/>
        <v>349600</v>
      </c>
      <c r="E13" s="72">
        <f t="shared" si="6"/>
        <v>349600</v>
      </c>
      <c r="F13" s="71">
        <f t="shared" si="6"/>
        <v>1149000</v>
      </c>
      <c r="G13" s="72">
        <f t="shared" si="6"/>
        <v>1149000</v>
      </c>
      <c r="H13" s="73">
        <f>SUM(H6:H12)</f>
        <v>607000</v>
      </c>
      <c r="I13" s="94">
        <f>SUM(I6:I12)</f>
        <v>607000</v>
      </c>
      <c r="J13" s="73">
        <f t="shared" ref="J13:W13" si="7">SUM(J6:J12)</f>
        <v>226000</v>
      </c>
      <c r="K13" s="219">
        <f t="shared" ref="K13:M13" si="8">SUM(K6:K12)</f>
        <v>226000</v>
      </c>
      <c r="L13" s="220">
        <f t="shared" si="8"/>
        <v>833000</v>
      </c>
      <c r="M13" s="219">
        <f t="shared" si="8"/>
        <v>833000</v>
      </c>
      <c r="N13" s="221">
        <f t="shared" si="7"/>
        <v>308440</v>
      </c>
      <c r="O13" s="221">
        <f t="shared" si="7"/>
        <v>132177</v>
      </c>
      <c r="P13" s="221">
        <f t="shared" si="7"/>
        <v>588000</v>
      </c>
      <c r="Q13" s="219">
        <f t="shared" ref="Q13:U13" si="9">SUM(Q6:Q12)</f>
        <v>588000</v>
      </c>
      <c r="R13" s="221">
        <f t="shared" si="7"/>
        <v>252000</v>
      </c>
      <c r="S13" s="219">
        <f t="shared" si="9"/>
        <v>252000</v>
      </c>
      <c r="T13" s="221">
        <f t="shared" si="7"/>
        <v>840000</v>
      </c>
      <c r="U13" s="219">
        <f t="shared" si="9"/>
        <v>840000</v>
      </c>
      <c r="V13" s="221">
        <f t="shared" si="7"/>
        <v>2302840</v>
      </c>
      <c r="W13" s="221">
        <f t="shared" si="7"/>
        <v>959777</v>
      </c>
      <c r="X13" s="221">
        <f>SUM(X6:X12)</f>
        <v>3262617</v>
      </c>
      <c r="Y13" s="143">
        <f>SUM(Y6:Y12)</f>
        <v>1084903.1599999999</v>
      </c>
      <c r="Z13" s="222">
        <f>SUM(Z6:Z12)</f>
        <v>740216.35</v>
      </c>
      <c r="AA13" s="143">
        <f>SUM(AA6:AA12)</f>
        <v>299903.25125481025</v>
      </c>
      <c r="AB13" s="143">
        <f>SUM(AB6:AB12)</f>
        <v>760133.06</v>
      </c>
      <c r="AC13" s="124">
        <f>Y13+Z13+AA13+AB13</f>
        <v>2885155.8212548099</v>
      </c>
      <c r="AD13" s="89"/>
      <c r="AE13" s="83"/>
      <c r="AF13" s="89"/>
    </row>
    <row r="14" spans="1:32" x14ac:dyDescent="0.35">
      <c r="A14" s="59" t="s">
        <v>114</v>
      </c>
      <c r="B14" s="62">
        <f>B13*7%</f>
        <v>55958.000000000007</v>
      </c>
      <c r="C14" s="74">
        <f>C13*0.07</f>
        <v>55958.000000000007</v>
      </c>
      <c r="D14" s="60">
        <f>D13*0.07</f>
        <v>24472.000000000004</v>
      </c>
      <c r="E14" s="74">
        <f>E13*0.07</f>
        <v>24472.000000000004</v>
      </c>
      <c r="F14" s="62">
        <f>F13*0.07</f>
        <v>80430.000000000015</v>
      </c>
      <c r="G14" s="74">
        <f>G13*0.07</f>
        <v>80430.000000000015</v>
      </c>
      <c r="H14" s="84">
        <f t="shared" ref="H14:X14" si="10">SUM(H13*0.07)</f>
        <v>42490.000000000007</v>
      </c>
      <c r="I14" s="90">
        <f t="shared" si="10"/>
        <v>42490.000000000007</v>
      </c>
      <c r="J14" s="84">
        <f t="shared" si="10"/>
        <v>15820.000000000002</v>
      </c>
      <c r="K14" s="208">
        <f t="shared" ref="K14:M14" si="11">SUM(K13*0.07)</f>
        <v>15820.000000000002</v>
      </c>
      <c r="L14" s="209">
        <f t="shared" si="11"/>
        <v>58310.000000000007</v>
      </c>
      <c r="M14" s="208">
        <f t="shared" si="11"/>
        <v>58310.000000000007</v>
      </c>
      <c r="N14" s="209">
        <f t="shared" si="10"/>
        <v>21590.800000000003</v>
      </c>
      <c r="O14" s="209">
        <f t="shared" si="10"/>
        <v>9252.3900000000012</v>
      </c>
      <c r="P14" s="209">
        <f t="shared" si="10"/>
        <v>41160.000000000007</v>
      </c>
      <c r="Q14" s="208">
        <f t="shared" ref="Q14:U14" si="12">SUM(Q13*0.07)</f>
        <v>41160.000000000007</v>
      </c>
      <c r="R14" s="209">
        <f t="shared" si="10"/>
        <v>17640</v>
      </c>
      <c r="S14" s="208">
        <f t="shared" si="12"/>
        <v>17640</v>
      </c>
      <c r="T14" s="209">
        <f t="shared" si="10"/>
        <v>58800.000000000007</v>
      </c>
      <c r="U14" s="208">
        <f t="shared" si="12"/>
        <v>58800.000000000007</v>
      </c>
      <c r="V14" s="209">
        <f t="shared" si="10"/>
        <v>161198.80000000002</v>
      </c>
      <c r="W14" s="209">
        <f t="shared" si="10"/>
        <v>67184.39</v>
      </c>
      <c r="X14" s="209">
        <f t="shared" si="10"/>
        <v>228383.19000000003</v>
      </c>
      <c r="Y14" s="144">
        <f>'Budget par resultats'!I58</f>
        <v>75873.280700000003</v>
      </c>
      <c r="Z14" s="149">
        <v>53552.74</v>
      </c>
      <c r="AA14" s="144">
        <f>'Budget par resultats'!H58</f>
        <v>20993.20938783672</v>
      </c>
      <c r="AB14" s="144">
        <v>49408.65</v>
      </c>
      <c r="AC14" s="125">
        <f>Y14+Z14+AA14+AB14</f>
        <v>199827.8800878367</v>
      </c>
      <c r="AD14" s="89"/>
      <c r="AE14" s="83"/>
      <c r="AF14" s="89"/>
    </row>
    <row r="15" spans="1:32" ht="14.5" thickBot="1" x14ac:dyDescent="0.4">
      <c r="A15" s="75" t="s">
        <v>105</v>
      </c>
      <c r="B15" s="76">
        <f t="shared" ref="B15:G15" si="13">B13+B14</f>
        <v>855358</v>
      </c>
      <c r="C15" s="77">
        <f t="shared" si="13"/>
        <v>855358</v>
      </c>
      <c r="D15" s="78">
        <f t="shared" si="13"/>
        <v>374072</v>
      </c>
      <c r="E15" s="77">
        <f t="shared" si="13"/>
        <v>374072</v>
      </c>
      <c r="F15" s="76">
        <f t="shared" si="13"/>
        <v>1229430</v>
      </c>
      <c r="G15" s="77">
        <f t="shared" si="13"/>
        <v>1229430</v>
      </c>
      <c r="H15" s="79">
        <f t="shared" ref="H15:W15" si="14">SUM(H13:H14)</f>
        <v>649490</v>
      </c>
      <c r="I15" s="95">
        <f t="shared" si="14"/>
        <v>649490</v>
      </c>
      <c r="J15" s="79">
        <f t="shared" si="14"/>
        <v>241820</v>
      </c>
      <c r="K15" s="95">
        <f t="shared" ref="K15:M15" si="15">SUM(K13:K14)</f>
        <v>241820</v>
      </c>
      <c r="L15" s="96">
        <f t="shared" si="15"/>
        <v>891310</v>
      </c>
      <c r="M15" s="95">
        <f t="shared" si="15"/>
        <v>891310</v>
      </c>
      <c r="N15" s="79">
        <f t="shared" si="14"/>
        <v>330030.8</v>
      </c>
      <c r="O15" s="79">
        <f t="shared" si="14"/>
        <v>141429.39000000001</v>
      </c>
      <c r="P15" s="79">
        <f t="shared" si="14"/>
        <v>629160</v>
      </c>
      <c r="Q15" s="95">
        <f t="shared" ref="Q15:U15" si="16">SUM(Q13:Q14)</f>
        <v>629160</v>
      </c>
      <c r="R15" s="79">
        <f t="shared" si="14"/>
        <v>269640</v>
      </c>
      <c r="S15" s="95">
        <f t="shared" si="16"/>
        <v>269640</v>
      </c>
      <c r="T15" s="79">
        <f t="shared" si="14"/>
        <v>898800</v>
      </c>
      <c r="U15" s="95">
        <f t="shared" si="16"/>
        <v>898800</v>
      </c>
      <c r="V15" s="79">
        <f t="shared" si="14"/>
        <v>2464038.7999999998</v>
      </c>
      <c r="W15" s="79">
        <f t="shared" si="14"/>
        <v>1026961.39</v>
      </c>
      <c r="X15" s="79">
        <f>SUM(X13:X14)</f>
        <v>3491000.19</v>
      </c>
      <c r="Y15" s="150">
        <f>Y13+Y14</f>
        <v>1160776.4406999999</v>
      </c>
      <c r="Z15" s="150">
        <f>Z13+Z14</f>
        <v>793769.09</v>
      </c>
      <c r="AA15" s="150">
        <f>AA13+AA14</f>
        <v>320896.460642647</v>
      </c>
      <c r="AB15" s="150">
        <f>AB13+AB14</f>
        <v>809541.71000000008</v>
      </c>
      <c r="AC15" s="151">
        <f>AC13+AC14</f>
        <v>3084983.7013426465</v>
      </c>
    </row>
    <row r="16" spans="1:32" x14ac:dyDescent="0.35">
      <c r="B16" s="80"/>
      <c r="C16" s="80"/>
      <c r="Y16" s="145"/>
      <c r="Z16" s="82"/>
      <c r="AA16" s="83"/>
      <c r="AB16" s="83"/>
      <c r="AC16" s="107"/>
    </row>
    <row r="17" spans="2:30" x14ac:dyDescent="0.35">
      <c r="B17" s="81"/>
      <c r="C17" s="81"/>
      <c r="H17" s="81"/>
      <c r="I17" s="81"/>
      <c r="N17" s="81"/>
      <c r="P17" s="81"/>
      <c r="Q17" s="81"/>
      <c r="W17" s="230" t="s">
        <v>131</v>
      </c>
      <c r="X17" s="223">
        <f>X18+X19+X20+X21</f>
        <v>68653.559300000008</v>
      </c>
      <c r="Y17" s="146"/>
      <c r="Z17" s="53"/>
      <c r="AA17" s="129"/>
      <c r="AB17" s="129"/>
      <c r="AC17" s="82">
        <f>AC15/X15</f>
        <v>0.88369622842748874</v>
      </c>
    </row>
    <row r="18" spans="2:30" x14ac:dyDescent="0.35">
      <c r="B18" s="81"/>
      <c r="C18" s="81"/>
      <c r="H18" s="81"/>
      <c r="I18" s="81"/>
      <c r="N18" s="81"/>
      <c r="P18" s="81"/>
      <c r="Q18" s="81"/>
      <c r="W18" s="224" t="s">
        <v>130</v>
      </c>
      <c r="X18" s="225">
        <v>7829.48</v>
      </c>
      <c r="Y18" s="147"/>
      <c r="Z18" s="53"/>
      <c r="AA18" s="81"/>
      <c r="AB18" s="82"/>
      <c r="AC18" s="130"/>
      <c r="AD18" s="83"/>
    </row>
    <row r="19" spans="2:30" x14ac:dyDescent="0.3">
      <c r="V19" s="89"/>
      <c r="W19" s="226" t="s">
        <v>129</v>
      </c>
      <c r="X19" s="227">
        <v>13267.36</v>
      </c>
      <c r="Y19" s="147"/>
      <c r="Z19" s="53"/>
      <c r="AA19" s="82"/>
      <c r="AB19" s="82"/>
    </row>
    <row r="20" spans="2:30" ht="28" x14ac:dyDescent="0.35">
      <c r="V20" s="89"/>
      <c r="W20" s="228" t="s">
        <v>127</v>
      </c>
      <c r="X20" s="229">
        <f>'Budget par resultats'!D55</f>
        <v>43000</v>
      </c>
      <c r="Y20" s="147"/>
      <c r="Z20" s="53"/>
    </row>
    <row r="21" spans="2:30" x14ac:dyDescent="0.35">
      <c r="P21" s="89"/>
      <c r="Q21" s="89"/>
      <c r="W21" s="226" t="s">
        <v>126</v>
      </c>
      <c r="X21" s="40">
        <f>G14-Y14</f>
        <v>4556.7193000000116</v>
      </c>
      <c r="Y21" s="147"/>
      <c r="Z21" s="53"/>
    </row>
    <row r="22" spans="2:30" x14ac:dyDescent="0.35">
      <c r="P22" s="89"/>
      <c r="Q22" s="89"/>
      <c r="V22" s="89"/>
      <c r="W22" s="230" t="s">
        <v>128</v>
      </c>
      <c r="X22" s="223">
        <f>SUM(X18:X21)</f>
        <v>68653.559300000008</v>
      </c>
      <c r="Y22" s="148"/>
      <c r="Z22" s="53"/>
    </row>
    <row r="23" spans="2:30" x14ac:dyDescent="0.35">
      <c r="X23" s="89"/>
      <c r="Y23" s="148"/>
      <c r="Z23" s="53"/>
    </row>
    <row r="24" spans="2:30" x14ac:dyDescent="0.35">
      <c r="Z24" s="53"/>
    </row>
    <row r="25" spans="2:30" x14ac:dyDescent="0.35">
      <c r="Z25" s="53"/>
    </row>
    <row r="26" spans="2:30" x14ac:dyDescent="0.35">
      <c r="Z26" s="53"/>
    </row>
    <row r="27" spans="2:30" x14ac:dyDescent="0.35">
      <c r="Z27" s="53"/>
    </row>
    <row r="28" spans="2:30" x14ac:dyDescent="0.35">
      <c r="Z28" s="53"/>
    </row>
    <row r="29" spans="2:30" x14ac:dyDescent="0.35">
      <c r="Z29" s="53"/>
    </row>
    <row r="30" spans="2:30" x14ac:dyDescent="0.35">
      <c r="Z30" s="53"/>
    </row>
    <row r="31" spans="2:30" x14ac:dyDescent="0.35">
      <c r="Z31" s="53"/>
    </row>
    <row r="32" spans="2:30" x14ac:dyDescent="0.35">
      <c r="Z32" s="53"/>
    </row>
    <row r="33" spans="26:26" x14ac:dyDescent="0.35">
      <c r="Z33" s="53"/>
    </row>
    <row r="34" spans="26:26" x14ac:dyDescent="0.35">
      <c r="Z34" s="53"/>
    </row>
    <row r="35" spans="26:26" x14ac:dyDescent="0.35">
      <c r="Z35" s="53"/>
    </row>
    <row r="36" spans="26:26" x14ac:dyDescent="0.35">
      <c r="Z36" s="53"/>
    </row>
    <row r="37" spans="26:26" x14ac:dyDescent="0.35">
      <c r="Z37" s="53"/>
    </row>
    <row r="38" spans="26:26" x14ac:dyDescent="0.35">
      <c r="Z38" s="53"/>
    </row>
    <row r="39" spans="26:26" x14ac:dyDescent="0.35">
      <c r="Z39" s="53"/>
    </row>
    <row r="40" spans="26:26" x14ac:dyDescent="0.35">
      <c r="Z40" s="53"/>
    </row>
    <row r="41" spans="26:26" x14ac:dyDescent="0.35">
      <c r="Z41" s="53"/>
    </row>
    <row r="42" spans="26:26" x14ac:dyDescent="0.35">
      <c r="Z42" s="53"/>
    </row>
    <row r="43" spans="26:26" x14ac:dyDescent="0.35">
      <c r="Z43" s="53"/>
    </row>
    <row r="44" spans="26:26" x14ac:dyDescent="0.35">
      <c r="Z44" s="53"/>
    </row>
    <row r="45" spans="26:26" x14ac:dyDescent="0.35">
      <c r="Z45" s="53"/>
    </row>
    <row r="46" spans="26:26" x14ac:dyDescent="0.35">
      <c r="Z46" s="53"/>
    </row>
    <row r="47" spans="26:26" x14ac:dyDescent="0.35">
      <c r="Z47" s="53"/>
    </row>
    <row r="48" spans="26:26" x14ac:dyDescent="0.35">
      <c r="Z48" s="53"/>
    </row>
    <row r="49" spans="26:26" x14ac:dyDescent="0.35">
      <c r="Z49" s="53"/>
    </row>
    <row r="50" spans="26:26" x14ac:dyDescent="0.35">
      <c r="Z50" s="53"/>
    </row>
    <row r="51" spans="26:26" x14ac:dyDescent="0.35">
      <c r="Z51" s="53"/>
    </row>
    <row r="52" spans="26:26" x14ac:dyDescent="0.35">
      <c r="Z52" s="53"/>
    </row>
    <row r="53" spans="26:26" x14ac:dyDescent="0.35">
      <c r="Z53" s="53"/>
    </row>
    <row r="54" spans="26:26" x14ac:dyDescent="0.35">
      <c r="Z54" s="53"/>
    </row>
    <row r="55" spans="26:26" x14ac:dyDescent="0.35">
      <c r="Z55" s="53"/>
    </row>
    <row r="56" spans="26:26" x14ac:dyDescent="0.35">
      <c r="Z56" s="53"/>
    </row>
    <row r="57" spans="26:26" x14ac:dyDescent="0.35">
      <c r="Z57" s="53"/>
    </row>
    <row r="58" spans="26:26" x14ac:dyDescent="0.35">
      <c r="Z58" s="53"/>
    </row>
    <row r="59" spans="26:26" x14ac:dyDescent="0.35">
      <c r="Z59" s="53"/>
    </row>
    <row r="60" spans="26:26" x14ac:dyDescent="0.35">
      <c r="Z60" s="53"/>
    </row>
    <row r="61" spans="26:26" x14ac:dyDescent="0.35">
      <c r="Z61" s="53"/>
    </row>
    <row r="62" spans="26:26" x14ac:dyDescent="0.35">
      <c r="Z62" s="53"/>
    </row>
    <row r="63" spans="26:26" x14ac:dyDescent="0.35">
      <c r="Z63" s="53"/>
    </row>
    <row r="64" spans="26:26" x14ac:dyDescent="0.35">
      <c r="Z64" s="53"/>
    </row>
    <row r="65" spans="26:26" x14ac:dyDescent="0.35">
      <c r="Z65" s="53"/>
    </row>
    <row r="66" spans="26:26" x14ac:dyDescent="0.35">
      <c r="Z66" s="53"/>
    </row>
    <row r="67" spans="26:26" x14ac:dyDescent="0.35">
      <c r="Z67" s="53"/>
    </row>
    <row r="68" spans="26:26" x14ac:dyDescent="0.35">
      <c r="Z68" s="53"/>
    </row>
    <row r="69" spans="26:26" x14ac:dyDescent="0.35">
      <c r="Z69" s="53"/>
    </row>
    <row r="70" spans="26:26" x14ac:dyDescent="0.35">
      <c r="Z70" s="53"/>
    </row>
    <row r="71" spans="26:26" x14ac:dyDescent="0.35">
      <c r="Z71" s="53"/>
    </row>
    <row r="72" spans="26:26" x14ac:dyDescent="0.35">
      <c r="Z72" s="53"/>
    </row>
    <row r="73" spans="26:26" x14ac:dyDescent="0.35">
      <c r="Z73" s="53"/>
    </row>
    <row r="74" spans="26:26" x14ac:dyDescent="0.35">
      <c r="Z74" s="53"/>
    </row>
    <row r="75" spans="26:26" x14ac:dyDescent="0.35">
      <c r="Z75" s="53"/>
    </row>
    <row r="76" spans="26:26" x14ac:dyDescent="0.35">
      <c r="Z76" s="53"/>
    </row>
    <row r="77" spans="26:26" x14ac:dyDescent="0.35">
      <c r="Z77" s="53"/>
    </row>
    <row r="78" spans="26:26" x14ac:dyDescent="0.35">
      <c r="Z78" s="53"/>
    </row>
    <row r="79" spans="26:26" x14ac:dyDescent="0.35">
      <c r="Z79" s="53"/>
    </row>
    <row r="80" spans="26:26" x14ac:dyDescent="0.35">
      <c r="Z80" s="53"/>
    </row>
    <row r="81" spans="26:26" x14ac:dyDescent="0.35">
      <c r="Z81" s="53"/>
    </row>
    <row r="82" spans="26:26" x14ac:dyDescent="0.35">
      <c r="Z82" s="53"/>
    </row>
    <row r="83" spans="26:26" x14ac:dyDescent="0.35">
      <c r="Z83" s="53"/>
    </row>
    <row r="84" spans="26:26" x14ac:dyDescent="0.35">
      <c r="Z84" s="53"/>
    </row>
    <row r="85" spans="26:26" x14ac:dyDescent="0.35">
      <c r="Z85" s="53"/>
    </row>
    <row r="86" spans="26:26" x14ac:dyDescent="0.35">
      <c r="Z86" s="53"/>
    </row>
    <row r="87" spans="26:26" x14ac:dyDescent="0.35">
      <c r="Z87" s="53"/>
    </row>
    <row r="88" spans="26:26" x14ac:dyDescent="0.35">
      <c r="Z88" s="53"/>
    </row>
    <row r="89" spans="26:26" x14ac:dyDescent="0.35">
      <c r="Z89" s="53"/>
    </row>
    <row r="90" spans="26:26" x14ac:dyDescent="0.35">
      <c r="Z90" s="53"/>
    </row>
    <row r="91" spans="26:26" x14ac:dyDescent="0.35">
      <c r="Z91" s="53"/>
    </row>
    <row r="92" spans="26:26" x14ac:dyDescent="0.35">
      <c r="Z92" s="53"/>
    </row>
    <row r="93" spans="26:26" x14ac:dyDescent="0.35">
      <c r="Z93" s="53"/>
    </row>
    <row r="94" spans="26:26" x14ac:dyDescent="0.35">
      <c r="Z94" s="53"/>
    </row>
    <row r="95" spans="26:26" x14ac:dyDescent="0.35">
      <c r="Z95" s="53"/>
    </row>
    <row r="96" spans="26:26" x14ac:dyDescent="0.35">
      <c r="Z96" s="53"/>
    </row>
    <row r="97" spans="26:26" x14ac:dyDescent="0.35">
      <c r="Z97" s="53"/>
    </row>
    <row r="98" spans="26:26" x14ac:dyDescent="0.35">
      <c r="Z98" s="53"/>
    </row>
    <row r="99" spans="26:26" x14ac:dyDescent="0.35">
      <c r="Z99" s="53"/>
    </row>
    <row r="100" spans="26:26" x14ac:dyDescent="0.35">
      <c r="Z100" s="53"/>
    </row>
    <row r="101" spans="26:26" x14ac:dyDescent="0.35">
      <c r="Z101" s="53"/>
    </row>
    <row r="102" spans="26:26" x14ac:dyDescent="0.35">
      <c r="Z102" s="53"/>
    </row>
    <row r="103" spans="26:26" x14ac:dyDescent="0.35">
      <c r="Z103" s="53"/>
    </row>
    <row r="104" spans="26:26" x14ac:dyDescent="0.35">
      <c r="Z104" s="53"/>
    </row>
    <row r="105" spans="26:26" x14ac:dyDescent="0.35">
      <c r="Z105" s="53"/>
    </row>
    <row r="106" spans="26:26" x14ac:dyDescent="0.35">
      <c r="Z106" s="53"/>
    </row>
    <row r="107" spans="26:26" x14ac:dyDescent="0.35">
      <c r="Z107" s="53"/>
    </row>
    <row r="108" spans="26:26" x14ac:dyDescent="0.35">
      <c r="Z108" s="53"/>
    </row>
    <row r="109" spans="26:26" x14ac:dyDescent="0.35">
      <c r="Z109" s="53"/>
    </row>
    <row r="110" spans="26:26" x14ac:dyDescent="0.35">
      <c r="Z110" s="53"/>
    </row>
    <row r="111" spans="26:26" x14ac:dyDescent="0.35">
      <c r="Z111" s="53"/>
    </row>
    <row r="112" spans="26:26" x14ac:dyDescent="0.35">
      <c r="Z112" s="53"/>
    </row>
    <row r="113" spans="26:26" x14ac:dyDescent="0.35">
      <c r="Z113" s="53"/>
    </row>
    <row r="114" spans="26:26" x14ac:dyDescent="0.35">
      <c r="Z114" s="53"/>
    </row>
    <row r="115" spans="26:26" x14ac:dyDescent="0.35">
      <c r="Z115" s="53"/>
    </row>
    <row r="116" spans="26:26" x14ac:dyDescent="0.35">
      <c r="Z116" s="53"/>
    </row>
    <row r="117" spans="26:26" x14ac:dyDescent="0.35">
      <c r="Z117" s="53"/>
    </row>
    <row r="118" spans="26:26" x14ac:dyDescent="0.35">
      <c r="Z118" s="53"/>
    </row>
    <row r="119" spans="26:26" x14ac:dyDescent="0.35">
      <c r="Z119" s="53"/>
    </row>
    <row r="120" spans="26:26" x14ac:dyDescent="0.35">
      <c r="Z120" s="53"/>
    </row>
    <row r="121" spans="26:26" x14ac:dyDescent="0.35">
      <c r="Z121" s="53"/>
    </row>
    <row r="122" spans="26:26" x14ac:dyDescent="0.35">
      <c r="Z122" s="53"/>
    </row>
    <row r="123" spans="26:26" x14ac:dyDescent="0.35">
      <c r="Z123" s="53"/>
    </row>
    <row r="124" spans="26:26" x14ac:dyDescent="0.35">
      <c r="Z124" s="53"/>
    </row>
    <row r="125" spans="26:26" x14ac:dyDescent="0.35">
      <c r="Z125" s="53"/>
    </row>
    <row r="126" spans="26:26" x14ac:dyDescent="0.35">
      <c r="Z126" s="53"/>
    </row>
    <row r="127" spans="26:26" x14ac:dyDescent="0.35">
      <c r="Z127" s="53"/>
    </row>
    <row r="128" spans="26:26" x14ac:dyDescent="0.35">
      <c r="Z128" s="53"/>
    </row>
    <row r="129" spans="26:26" x14ac:dyDescent="0.35">
      <c r="Z129" s="53"/>
    </row>
    <row r="130" spans="26:26" x14ac:dyDescent="0.35">
      <c r="Z130" s="53"/>
    </row>
    <row r="131" spans="26:26" x14ac:dyDescent="0.35">
      <c r="Z131" s="53"/>
    </row>
    <row r="132" spans="26:26" x14ac:dyDescent="0.35">
      <c r="Z132" s="53"/>
    </row>
    <row r="133" spans="26:26" x14ac:dyDescent="0.35">
      <c r="Z133" s="53"/>
    </row>
    <row r="134" spans="26:26" x14ac:dyDescent="0.35">
      <c r="Z134" s="53"/>
    </row>
    <row r="135" spans="26:26" x14ac:dyDescent="0.35">
      <c r="Z135" s="53"/>
    </row>
    <row r="136" spans="26:26" x14ac:dyDescent="0.35">
      <c r="Z136" s="53"/>
    </row>
    <row r="137" spans="26:26" x14ac:dyDescent="0.35">
      <c r="Z137" s="53"/>
    </row>
    <row r="138" spans="26:26" x14ac:dyDescent="0.35">
      <c r="Z138" s="53"/>
    </row>
    <row r="139" spans="26:26" x14ac:dyDescent="0.35">
      <c r="Z139" s="53"/>
    </row>
    <row r="140" spans="26:26" x14ac:dyDescent="0.35">
      <c r="Z140" s="53"/>
    </row>
    <row r="141" spans="26:26" x14ac:dyDescent="0.35">
      <c r="Z141" s="53"/>
    </row>
    <row r="142" spans="26:26" x14ac:dyDescent="0.35">
      <c r="Z142" s="53"/>
    </row>
    <row r="143" spans="26:26" x14ac:dyDescent="0.35">
      <c r="Z143" s="53"/>
    </row>
    <row r="144" spans="26:26" x14ac:dyDescent="0.35">
      <c r="Z144" s="53"/>
    </row>
    <row r="145" spans="26:26" x14ac:dyDescent="0.35">
      <c r="Z145" s="53"/>
    </row>
    <row r="146" spans="26:26" x14ac:dyDescent="0.35">
      <c r="Z146" s="53"/>
    </row>
    <row r="147" spans="26:26" x14ac:dyDescent="0.35">
      <c r="Z147" s="53"/>
    </row>
    <row r="148" spans="26:26" x14ac:dyDescent="0.35">
      <c r="Z148" s="53"/>
    </row>
    <row r="149" spans="26:26" x14ac:dyDescent="0.35">
      <c r="Z149" s="53"/>
    </row>
    <row r="150" spans="26:26" x14ac:dyDescent="0.35">
      <c r="Z150" s="53"/>
    </row>
    <row r="151" spans="26:26" x14ac:dyDescent="0.35">
      <c r="Z151" s="53"/>
    </row>
    <row r="152" spans="26:26" x14ac:dyDescent="0.35">
      <c r="Z152" s="53"/>
    </row>
    <row r="153" spans="26:26" x14ac:dyDescent="0.35">
      <c r="Z153" s="53"/>
    </row>
    <row r="154" spans="26:26" x14ac:dyDescent="0.35">
      <c r="Z154" s="53"/>
    </row>
    <row r="155" spans="26:26" x14ac:dyDescent="0.35">
      <c r="Z155" s="53"/>
    </row>
    <row r="156" spans="26:26" x14ac:dyDescent="0.35">
      <c r="Z156" s="53"/>
    </row>
    <row r="157" spans="26:26" x14ac:dyDescent="0.35">
      <c r="Z157" s="53"/>
    </row>
    <row r="158" spans="26:26" x14ac:dyDescent="0.35">
      <c r="Z158" s="53"/>
    </row>
    <row r="159" spans="26:26" x14ac:dyDescent="0.35">
      <c r="Z159" s="53"/>
    </row>
    <row r="160" spans="26:26" x14ac:dyDescent="0.35">
      <c r="Z160" s="53"/>
    </row>
    <row r="161" spans="26:26" x14ac:dyDescent="0.35">
      <c r="Z161" s="53"/>
    </row>
    <row r="162" spans="26:26" x14ac:dyDescent="0.35">
      <c r="Z162" s="53"/>
    </row>
    <row r="163" spans="26:26" x14ac:dyDescent="0.35">
      <c r="Z163" s="53"/>
    </row>
    <row r="164" spans="26:26" x14ac:dyDescent="0.35">
      <c r="Z164" s="53"/>
    </row>
    <row r="165" spans="26:26" x14ac:dyDescent="0.35">
      <c r="Z165" s="53"/>
    </row>
    <row r="166" spans="26:26" x14ac:dyDescent="0.35">
      <c r="Z166" s="53"/>
    </row>
    <row r="167" spans="26:26" x14ac:dyDescent="0.35">
      <c r="Z167" s="53"/>
    </row>
    <row r="168" spans="26:26" x14ac:dyDescent="0.35">
      <c r="Z168" s="53"/>
    </row>
    <row r="169" spans="26:26" x14ac:dyDescent="0.35">
      <c r="Z169" s="53"/>
    </row>
    <row r="170" spans="26:26" x14ac:dyDescent="0.35">
      <c r="Z170" s="53"/>
    </row>
    <row r="171" spans="26:26" x14ac:dyDescent="0.35">
      <c r="Z171" s="53"/>
    </row>
    <row r="172" spans="26:26" x14ac:dyDescent="0.35">
      <c r="Z172" s="53"/>
    </row>
    <row r="173" spans="26:26" x14ac:dyDescent="0.35">
      <c r="Z173" s="53"/>
    </row>
    <row r="174" spans="26:26" x14ac:dyDescent="0.35">
      <c r="Z174" s="53"/>
    </row>
    <row r="175" spans="26:26" x14ac:dyDescent="0.35">
      <c r="Z175" s="53"/>
    </row>
  </sheetData>
  <mergeCells count="7">
    <mergeCell ref="X4:X5"/>
    <mergeCell ref="Y4:AC4"/>
    <mergeCell ref="A4:A5"/>
    <mergeCell ref="B4:G4"/>
    <mergeCell ref="N4:O4"/>
    <mergeCell ref="H4:M4"/>
    <mergeCell ref="P4:U4"/>
  </mergeCells>
  <pageMargins left="0.7" right="0.7" top="0.75" bottom="0.75" header="0.3" footer="0.3"/>
  <pageSetup scale="92" fitToHeight="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2b19fd-febb-48ea-9440-aa61f09133ca">F5Z4AVR7E4ZZ-1788417235-1496</_dlc_DocId>
    <_dlc_DocIdUrl xmlns="9b2b19fd-febb-48ea-9440-aa61f09133ca">
      <Url>https://unicef.sharepoint.com/teams/TCD-Partnership/_layouts/15/DocIdRedir.aspx?ID=F5Z4AVR7E4ZZ-1788417235-1496</Url>
      <Description>F5Z4AVR7E4ZZ-1788417235-1496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8CF4C60E667ED4FBCEB67DA7CE78342" ma:contentTypeVersion="6" ma:contentTypeDescription="Create a new document." ma:contentTypeScope="" ma:versionID="fde9951bb5795a680c73ff076ddf4317">
  <xsd:schema xmlns:xsd="http://www.w3.org/2001/XMLSchema" xmlns:xs="http://www.w3.org/2001/XMLSchema" xmlns:p="http://schemas.microsoft.com/office/2006/metadata/properties" xmlns:ns2="9b2b19fd-febb-48ea-9440-aa61f09133ca" xmlns:ns3="84703ff6-12c1-418b-930a-772215aafc43" targetNamespace="http://schemas.microsoft.com/office/2006/metadata/properties" ma:root="true" ma:fieldsID="8b468610c3c27409741eff807835efcb" ns2:_="" ns3:_="">
    <xsd:import namespace="9b2b19fd-febb-48ea-9440-aa61f09133ca"/>
    <xsd:import namespace="84703ff6-12c1-418b-930a-772215aafc4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b19fd-febb-48ea-9440-aa61f09133c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703ff6-12c1-418b-930a-772215aafc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227B19-B5B1-4E44-A089-7C0FF323108D}">
  <ds:schemaRefs>
    <ds:schemaRef ds:uri="http://schemas.microsoft.com/office/2006/metadata/properties"/>
    <ds:schemaRef ds:uri="http://schemas.microsoft.com/office/infopath/2007/PartnerControls"/>
    <ds:schemaRef ds:uri="9b2b19fd-febb-48ea-9440-aa61f09133ca"/>
  </ds:schemaRefs>
</ds:datastoreItem>
</file>

<file path=customXml/itemProps2.xml><?xml version="1.0" encoding="utf-8"?>
<ds:datastoreItem xmlns:ds="http://schemas.openxmlformats.org/officeDocument/2006/customXml" ds:itemID="{39F94A35-23ED-4BED-BD1D-F2E3698C059D}">
  <ds:schemaRefs>
    <ds:schemaRef ds:uri="http://schemas.microsoft.com/sharepoint/v3/contenttype/forms"/>
  </ds:schemaRefs>
</ds:datastoreItem>
</file>

<file path=customXml/itemProps3.xml><?xml version="1.0" encoding="utf-8"?>
<ds:datastoreItem xmlns:ds="http://schemas.openxmlformats.org/officeDocument/2006/customXml" ds:itemID="{95CC75B3-739B-4CB9-B77E-D658A1481C24}">
  <ds:schemaRefs>
    <ds:schemaRef ds:uri="http://schemas.microsoft.com/sharepoint/events"/>
  </ds:schemaRefs>
</ds:datastoreItem>
</file>

<file path=customXml/itemProps4.xml><?xml version="1.0" encoding="utf-8"?>
<ds:datastoreItem xmlns:ds="http://schemas.openxmlformats.org/officeDocument/2006/customXml" ds:itemID="{380D6C45-6DE1-4FA9-AF0E-A77F1A664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b19fd-febb-48ea-9440-aa61f09133ca"/>
    <ds:schemaRef ds:uri="84703ff6-12c1-418b-930a-772215aaf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par resultats</vt:lpstr>
      <vt:lpstr>Budget par categorie</vt:lpstr>
      <vt:lpstr>'Budget par resultats'!Print_Area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UWIMBABAZI Appoline</cp:lastModifiedBy>
  <cp:revision/>
  <dcterms:created xsi:type="dcterms:W3CDTF">2017-11-15T21:17:43Z</dcterms:created>
  <dcterms:modified xsi:type="dcterms:W3CDTF">2022-06-17T09:19:51Z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0x01010008CF4C60E667ED4FBCEB67DA7CE78342</vt:lpwstr>
  </property>
  <property fmtid="{D5CDD505-2E9C-101B-9397-08002B2CF9AE}" pid="3" name="_dlc_DocIdItemGuid">
    <vt:lpwstr>8763e48d-62b7-4a63-a7a1-e44a00c7a024</vt:lpwstr>
  </property>
</Properties>
</file>