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LL\Dropbox\00001 DOSSIER 2021\PBF DONZO 2021\RAPPORT 2021\Rapport SEPTEMBRE 2021\"/>
    </mc:Choice>
  </mc:AlternateContent>
  <bookViews>
    <workbookView xWindow="0" yWindow="0" windowWidth="23040" windowHeight="9384" activeTab="1"/>
  </bookViews>
  <sheets>
    <sheet name="Categorie Budgetaire" sheetId="7" r:id="rId1"/>
    <sheet name="SUIVI BUDGETAIRE VF" sheetId="14" r:id="rId2"/>
    <sheet name="AEA" sheetId="9" state="hidden" r:id="rId3"/>
    <sheet name="DASHBOARD" sheetId="5" state="hidden" r:id="rId4"/>
  </sheets>
  <externalReferences>
    <externalReference r:id="rId5"/>
  </externalReferences>
  <definedNames>
    <definedName name="_xlnm.Print_Area" localSheetId="1">'SUIVI BUDGETAIRE VF'!$A$1:$L$60</definedName>
  </definedNames>
  <calcPr calcId="152511"/>
</workbook>
</file>

<file path=xl/calcChain.xml><?xml version="1.0" encoding="utf-8"?>
<calcChain xmlns="http://schemas.openxmlformats.org/spreadsheetml/2006/main">
  <c r="N19" i="7" l="1"/>
  <c r="D19" i="7"/>
  <c r="I18" i="7"/>
  <c r="D18" i="7"/>
  <c r="N12" i="7"/>
  <c r="N13" i="7"/>
  <c r="N14" i="7"/>
  <c r="N15" i="7"/>
  <c r="N16" i="7"/>
  <c r="N17" i="7"/>
  <c r="N11" i="7"/>
  <c r="L12" i="7"/>
  <c r="L13" i="7"/>
  <c r="L14" i="7"/>
  <c r="L15" i="7"/>
  <c r="L16" i="7"/>
  <c r="L17" i="7"/>
  <c r="L11" i="7"/>
  <c r="K11" i="7"/>
  <c r="H18" i="7" l="1"/>
  <c r="G19" i="7" l="1"/>
  <c r="I12" i="7" l="1"/>
  <c r="I13" i="7"/>
  <c r="I14" i="7"/>
  <c r="I15" i="7"/>
  <c r="I17" i="7"/>
  <c r="F55" i="14" l="1"/>
  <c r="H35" i="14" l="1"/>
  <c r="G39" i="14"/>
  <c r="G36" i="14"/>
  <c r="H54" i="14"/>
  <c r="H53" i="14"/>
  <c r="H52" i="14"/>
  <c r="H49" i="14"/>
  <c r="H46" i="14"/>
  <c r="H45" i="14"/>
  <c r="H29" i="14"/>
  <c r="H28" i="14"/>
  <c r="H25" i="14"/>
  <c r="H19" i="14"/>
  <c r="H18" i="14"/>
  <c r="H14" i="14"/>
  <c r="H13" i="14"/>
  <c r="H12" i="14"/>
  <c r="G30" i="14"/>
  <c r="G20" i="14"/>
  <c r="G15" i="14"/>
  <c r="H38" i="14" l="1"/>
  <c r="G26" i="14"/>
  <c r="E19" i="7" l="1"/>
  <c r="F19" i="7"/>
  <c r="I54" i="14"/>
  <c r="I53" i="14"/>
  <c r="I52" i="14"/>
  <c r="I46" i="14"/>
  <c r="I38" i="14"/>
  <c r="J38" i="14" s="1"/>
  <c r="I35" i="14"/>
  <c r="I29" i="14"/>
  <c r="I25" i="14"/>
  <c r="I19" i="14"/>
  <c r="I18" i="14"/>
  <c r="I14" i="14"/>
  <c r="H39" i="14" l="1"/>
  <c r="H30" i="14" l="1"/>
  <c r="I28" i="14"/>
  <c r="F39" i="14" l="1"/>
  <c r="F36" i="14"/>
  <c r="F30" i="14"/>
  <c r="F20" i="14"/>
  <c r="D55" i="14"/>
  <c r="C55" i="14"/>
  <c r="J54" i="14"/>
  <c r="L53" i="14"/>
  <c r="L52" i="14"/>
  <c r="E51" i="14"/>
  <c r="H51" i="14" s="1"/>
  <c r="E50" i="14"/>
  <c r="E48" i="14"/>
  <c r="H48" i="14" s="1"/>
  <c r="E47" i="14"/>
  <c r="H47" i="14" s="1"/>
  <c r="L46" i="14"/>
  <c r="E44" i="14"/>
  <c r="H44" i="14" s="1"/>
  <c r="E43" i="14"/>
  <c r="H43" i="14" s="1"/>
  <c r="E42" i="14"/>
  <c r="H42" i="14" s="1"/>
  <c r="E41" i="14"/>
  <c r="H41" i="14" s="1"/>
  <c r="E39" i="14"/>
  <c r="D39" i="14"/>
  <c r="C39" i="14"/>
  <c r="L38" i="14"/>
  <c r="D36" i="14"/>
  <c r="C36" i="14"/>
  <c r="L35" i="14"/>
  <c r="E34" i="14"/>
  <c r="H34" i="14" s="1"/>
  <c r="E30" i="14"/>
  <c r="D30" i="14"/>
  <c r="C30" i="14"/>
  <c r="L29" i="14"/>
  <c r="J28" i="14"/>
  <c r="D26" i="14"/>
  <c r="C26" i="14"/>
  <c r="L25" i="14"/>
  <c r="E24" i="14"/>
  <c r="H24" i="14" s="1"/>
  <c r="D20" i="14"/>
  <c r="C20" i="14"/>
  <c r="L19" i="14"/>
  <c r="L18" i="14"/>
  <c r="E17" i="14"/>
  <c r="H17" i="14" s="1"/>
  <c r="D15" i="14"/>
  <c r="C15" i="14"/>
  <c r="J14" i="14"/>
  <c r="E11" i="14"/>
  <c r="H11" i="14" s="1"/>
  <c r="H50" i="14" l="1"/>
  <c r="I50" i="14" s="1"/>
  <c r="E36" i="14"/>
  <c r="C58" i="14"/>
  <c r="C59" i="14" s="1"/>
  <c r="C60" i="14" s="1"/>
  <c r="H20" i="14"/>
  <c r="I17" i="14"/>
  <c r="K20" i="14" s="1"/>
  <c r="I43" i="14"/>
  <c r="J43" i="14" s="1"/>
  <c r="I11" i="14"/>
  <c r="J11" i="14" s="1"/>
  <c r="E26" i="14"/>
  <c r="E15" i="14"/>
  <c r="E20" i="14"/>
  <c r="E55" i="14"/>
  <c r="D58" i="14"/>
  <c r="D59" i="14" s="1"/>
  <c r="K30" i="14"/>
  <c r="L54" i="14"/>
  <c r="J53" i="14"/>
  <c r="I39" i="14"/>
  <c r="L39" i="14" s="1"/>
  <c r="K39" i="14"/>
  <c r="J39" i="14"/>
  <c r="J35" i="14"/>
  <c r="J25" i="14"/>
  <c r="L14" i="14"/>
  <c r="L28" i="14"/>
  <c r="I30" i="14"/>
  <c r="L30" i="14" s="1"/>
  <c r="J52" i="14"/>
  <c r="J18" i="14"/>
  <c r="J29" i="14"/>
  <c r="J30" i="14" s="1"/>
  <c r="J46" i="14"/>
  <c r="J19" i="14"/>
  <c r="J50" i="14" l="1"/>
  <c r="L50" i="14"/>
  <c r="L11" i="14"/>
  <c r="L43" i="14"/>
  <c r="I20" i="14"/>
  <c r="L20" i="14" s="1"/>
  <c r="L17" i="14"/>
  <c r="J17" i="14"/>
  <c r="J20" i="14" s="1"/>
  <c r="H36" i="14"/>
  <c r="I34" i="14"/>
  <c r="K36" i="14" s="1"/>
  <c r="E58" i="14"/>
  <c r="E59" i="14" s="1"/>
  <c r="E60" i="14" s="1"/>
  <c r="D60" i="14"/>
  <c r="L34" i="14" l="1"/>
  <c r="J34" i="14"/>
  <c r="J36" i="14" s="1"/>
  <c r="I36" i="14"/>
  <c r="L36" i="14" s="1"/>
  <c r="I16" i="7" l="1"/>
  <c r="J16" i="7" l="1"/>
  <c r="K16" i="7" s="1"/>
  <c r="I13" i="14"/>
  <c r="J13" i="14" l="1"/>
  <c r="L13" i="14"/>
  <c r="F26" i="14" l="1"/>
  <c r="I51" i="14"/>
  <c r="J51" i="14" l="1"/>
  <c r="L51" i="14"/>
  <c r="H26" i="14"/>
  <c r="I24" i="14"/>
  <c r="I49" i="14"/>
  <c r="G55" i="14" l="1"/>
  <c r="G58" i="14" s="1"/>
  <c r="I47" i="14"/>
  <c r="J47" i="14" s="1"/>
  <c r="I48" i="14"/>
  <c r="J48" i="14" s="1"/>
  <c r="F15" i="14"/>
  <c r="I26" i="14"/>
  <c r="L26" i="14" s="1"/>
  <c r="L24" i="14"/>
  <c r="J24" i="14"/>
  <c r="J26" i="14" s="1"/>
  <c r="K26" i="14"/>
  <c r="I45" i="14"/>
  <c r="J49" i="14"/>
  <c r="L49" i="14"/>
  <c r="I44" i="14"/>
  <c r="J15" i="7"/>
  <c r="K15" i="7" s="1"/>
  <c r="J13" i="7"/>
  <c r="K13" i="7" s="1"/>
  <c r="G59" i="14" l="1"/>
  <c r="G60" i="14" s="1"/>
  <c r="J17" i="7"/>
  <c r="M17" i="7" s="1"/>
  <c r="L48" i="14"/>
  <c r="L47" i="14"/>
  <c r="J14" i="7"/>
  <c r="K14" i="7" s="1"/>
  <c r="I12" i="14"/>
  <c r="L45" i="14"/>
  <c r="J45" i="14"/>
  <c r="L44" i="14"/>
  <c r="J44" i="14"/>
  <c r="J12" i="7"/>
  <c r="K12" i="7" s="1"/>
  <c r="I42" i="14"/>
  <c r="K17" i="7" l="1"/>
  <c r="H15" i="14"/>
  <c r="J42" i="14"/>
  <c r="L42" i="14"/>
  <c r="L12" i="14"/>
  <c r="K15" i="14"/>
  <c r="J12" i="14"/>
  <c r="J15" i="14" s="1"/>
  <c r="I15" i="14"/>
  <c r="L15" i="14" s="1"/>
  <c r="I11" i="7"/>
  <c r="I19" i="7" s="1"/>
  <c r="F58" i="14" l="1"/>
  <c r="F59" i="14" s="1"/>
  <c r="F60" i="14" s="1"/>
  <c r="I12" i="9"/>
  <c r="I25" i="9"/>
  <c r="I24" i="9"/>
  <c r="I23" i="9" s="1"/>
  <c r="I21" i="9"/>
  <c r="I20" i="9"/>
  <c r="I19" i="9" s="1"/>
  <c r="I18" i="9"/>
  <c r="I17" i="9"/>
  <c r="I16" i="9"/>
  <c r="I15" i="9"/>
  <c r="I14" i="9"/>
  <c r="I13" i="9"/>
  <c r="I10" i="9"/>
  <c r="I9" i="9"/>
  <c r="I8" i="9"/>
  <c r="I7" i="9"/>
  <c r="I6" i="9"/>
  <c r="I5" i="9"/>
  <c r="F27" i="9"/>
  <c r="E27" i="9"/>
  <c r="D27" i="9"/>
  <c r="H25" i="9"/>
  <c r="H24" i="9"/>
  <c r="H23" i="9" s="1"/>
  <c r="H27" i="9" s="1"/>
  <c r="H21" i="9"/>
  <c r="H20" i="9"/>
  <c r="H19" i="9"/>
  <c r="H18" i="9"/>
  <c r="H17" i="9"/>
  <c r="H16" i="9"/>
  <c r="H15" i="9"/>
  <c r="H14" i="9"/>
  <c r="H13" i="9" s="1"/>
  <c r="H12" i="9" s="1"/>
  <c r="H10" i="9"/>
  <c r="H9" i="9"/>
  <c r="H8" i="9"/>
  <c r="H7" i="9"/>
  <c r="H6" i="9"/>
  <c r="H5" i="9"/>
  <c r="H4" i="9" s="1"/>
  <c r="J11" i="7" l="1"/>
  <c r="I41" i="14"/>
  <c r="H55" i="14"/>
  <c r="H58" i="14" s="1"/>
  <c r="I4" i="9"/>
  <c r="I27" i="9"/>
  <c r="L41" i="14" l="1"/>
  <c r="J41" i="14"/>
  <c r="K55" i="14"/>
  <c r="K58" i="14" s="1"/>
  <c r="K59" i="14" s="1"/>
  <c r="K60" i="14" s="1"/>
  <c r="I55" i="14"/>
  <c r="L55" i="14" s="1"/>
  <c r="I58" i="14"/>
  <c r="H59" i="14"/>
  <c r="I59" i="14" s="1"/>
  <c r="J55" i="14" l="1"/>
  <c r="L58" i="14"/>
  <c r="I60" i="14"/>
  <c r="L60" i="14" s="1"/>
  <c r="J58" i="14"/>
  <c r="H60" i="14"/>
  <c r="H19" i="7"/>
  <c r="L59" i="14"/>
  <c r="J59" i="14"/>
  <c r="J18" i="7" l="1"/>
  <c r="J60" i="14"/>
  <c r="L18" i="7" l="1"/>
  <c r="L19" i="7" s="1"/>
  <c r="N18" i="7"/>
  <c r="K18" i="7"/>
  <c r="K19" i="7" s="1"/>
  <c r="M18" i="7"/>
  <c r="J19" i="7"/>
  <c r="C19" i="7"/>
  <c r="M19" i="7" l="1"/>
  <c r="M15" i="7"/>
  <c r="B7" i="5" l="1"/>
  <c r="B8" i="5"/>
  <c r="B9" i="5"/>
  <c r="B10" i="5"/>
  <c r="B11" i="5"/>
  <c r="B12" i="5"/>
  <c r="B6" i="5"/>
  <c r="A8" i="5"/>
  <c r="A7" i="5"/>
  <c r="A9" i="5"/>
  <c r="A10" i="5"/>
  <c r="A11" i="5"/>
  <c r="A12" i="5"/>
  <c r="A13" i="5"/>
  <c r="A14" i="5"/>
  <c r="A6" i="5"/>
  <c r="B13" i="5" l="1"/>
  <c r="B14" i="5" s="1"/>
  <c r="M13" i="7" l="1"/>
  <c r="M12" i="7"/>
  <c r="C7" i="5"/>
  <c r="D7" i="5" s="1"/>
  <c r="M14" i="7" l="1"/>
  <c r="M11" i="7"/>
  <c r="M16" i="7"/>
  <c r="C6" i="5"/>
  <c r="D6" i="5" s="1"/>
  <c r="C11" i="5"/>
  <c r="D11" i="5" s="1"/>
  <c r="C8" i="5"/>
  <c r="D8" i="5" s="1"/>
  <c r="C9" i="5" l="1"/>
  <c r="D9" i="5" s="1"/>
  <c r="C12" i="5" l="1"/>
  <c r="D12" i="5" s="1"/>
  <c r="C10" i="5"/>
  <c r="D10" i="5" s="1"/>
  <c r="C13" i="5" l="1"/>
  <c r="D13" i="5" s="1"/>
  <c r="C14" i="5" l="1"/>
  <c r="D14" i="5" s="1"/>
</calcChain>
</file>

<file path=xl/sharedStrings.xml><?xml version="1.0" encoding="utf-8"?>
<sst xmlns="http://schemas.openxmlformats.org/spreadsheetml/2006/main" count="190" uniqueCount="169">
  <si>
    <t>Nombre de résultat/ produit</t>
  </si>
  <si>
    <t>Formulation du résultat/ produit/activité</t>
  </si>
  <si>
    <t>SOLDE non Exécuté</t>
  </si>
  <si>
    <t xml:space="preserve">RESULTAT 1: </t>
  </si>
  <si>
    <t>La cohésion sociale est renforcée entre les membres des différentes communautés ciblées par le projet en Haute Guinée</t>
  </si>
  <si>
    <t>Produit 1.1:</t>
  </si>
  <si>
    <t>Le cadre légal sur le rôle des Donzos en matière de sécurité en Haute Guinée est établi de manière concertée.</t>
  </si>
  <si>
    <t>Activité 1.1.1:</t>
  </si>
  <si>
    <t>Cartographier les confréries des chasseurs donzos en Haute Guinée ;</t>
  </si>
  <si>
    <t>Activité 1.1.2:</t>
  </si>
  <si>
    <t>Analyser le cadre légal actuel des Donzos</t>
  </si>
  <si>
    <t>Activité 1.1.3:</t>
  </si>
  <si>
    <t>Organiser un atelier régional de réflexion sur la réglementation actuelle de la confrérie des Donzos ;</t>
  </si>
  <si>
    <t>Activité 1.1.4</t>
  </si>
  <si>
    <t xml:space="preserve">Renforcer les capacités des associations donzos à jouer leur rôle selon le cadre légal ; </t>
  </si>
  <si>
    <t>Total pour produit 1.1</t>
  </si>
  <si>
    <t>Produit 1.2:</t>
  </si>
  <si>
    <t>Les cadres de concertations/ dialogues intergénérationnels et interprofessionnels (CCDI) sont établis et fonctionnels aux niveaux communautaire, préfectoral et régional</t>
  </si>
  <si>
    <t>Activité 1.2.1</t>
  </si>
  <si>
    <t>Identifier et appuyer les cadres de concertation pour les échanges inclusifs interprofessionnels et intergénérationnels (CCDI) ;</t>
  </si>
  <si>
    <t>Activité 1.2.2</t>
  </si>
  <si>
    <t>Former les membres des cadres de concertation sur les notions de droits de l’homme, paix, cohésion sociale et citoyenneté ;</t>
  </si>
  <si>
    <t>Activité 1.2.3</t>
  </si>
  <si>
    <t xml:space="preserve">Appuyer les membres des cadres de concertation pour mener des actions communautaires </t>
  </si>
  <si>
    <t>Total pour produit 1.2</t>
  </si>
  <si>
    <t xml:space="preserve">RESULTAT 2: </t>
  </si>
  <si>
    <t>La sécurité communautaire des femmes et hommes dans les localités cibles du projet en Haute Guinée est améliorée</t>
  </si>
  <si>
    <t>Produit 2.1</t>
  </si>
  <si>
    <t>Le mécanisme d’alerte précoce et de réponse rapide aux conflits est mis en place et fonctionnel</t>
  </si>
  <si>
    <t>Activité 2.1.1</t>
  </si>
  <si>
    <t>Identifier et former les moniteurs communautaires, les FDS, les donzos et les élus locaux sur le système d’alerte précoce et de réponse aux conflits ;</t>
  </si>
  <si>
    <t>Activité 2.3.1</t>
  </si>
  <si>
    <t>Atelier régional d’échanges et de renforcement des capacités sur les techniques de monitoring des droits de l’Homme ;</t>
  </si>
  <si>
    <t>Total pour produit 2.1</t>
  </si>
  <si>
    <t>Produit 2.2</t>
  </si>
  <si>
    <t>Les membres de la confrérie des donzos contribuent à la lutte contre les Violences Basées sur le Genre (VBG)</t>
  </si>
  <si>
    <t>Activité 2.2.1</t>
  </si>
  <si>
    <t>Former les associations des chasseurs donzos sur la lutte contre les VBG et le genre ;</t>
  </si>
  <si>
    <t>Activité' 2.2.2</t>
  </si>
  <si>
    <t>Organiser des activités socio-culturelles avec les chasseurs Donzos formés dans leurs communautés sur la masculinité positive ;</t>
  </si>
  <si>
    <t>Total pour produit 2.2</t>
  </si>
  <si>
    <t xml:space="preserve">RESULTAT 3: </t>
  </si>
  <si>
    <t>Les risques liés à la dégradation environnementale sont réduits dans les localités cibles</t>
  </si>
  <si>
    <t>Produit 3.1</t>
  </si>
  <si>
    <t xml:space="preserve">les différents acteurs locaux sont sensibilisés sur les causes et conséquences de la dégradation de l’environnement </t>
  </si>
  <si>
    <t>Activité 3.1.1</t>
  </si>
  <si>
    <t>Organiser des séances de formation sur l’écocitoyenneté, la responsabilité individuelle et collective des populations face à la dégradation de l’environnement et de l'écosystème ;</t>
  </si>
  <si>
    <t>Activité 3.1.2</t>
  </si>
  <si>
    <t>Soutenir les plans d’actions de sensibilisation sur la préservation de la biodiversité, de l’environnement et le renforcement de la cohésion sociale</t>
  </si>
  <si>
    <t>Total pour produit 3.1</t>
  </si>
  <si>
    <t>Produit 3.2:</t>
  </si>
  <si>
    <t xml:space="preserve"> Les activités économiques durables ayant un lien avec la conservation de la biodiversité et la protection de l’environnement sont développées par les femmes donsos membres des confréries </t>
  </si>
  <si>
    <t>Activité 3.2.1</t>
  </si>
  <si>
    <t>Appui aux associations de femmes donzos dans la culture maraichère ;</t>
  </si>
  <si>
    <t>Total pour produit 3.2</t>
  </si>
  <si>
    <t xml:space="preserve">Cout de personnel du projet </t>
  </si>
  <si>
    <t>Personnel et autres employés</t>
  </si>
  <si>
    <t>Couts opérationnels si pas inclus dans les activités ci-dessus</t>
  </si>
  <si>
    <t>Fournitures, produits de base, matériels</t>
  </si>
  <si>
    <t>Équipement, véhicules et mobilier</t>
  </si>
  <si>
    <t>Frais de mission terrain</t>
  </si>
  <si>
    <t>Visibilité du projet</t>
  </si>
  <si>
    <t>Frais d'audit financier</t>
  </si>
  <si>
    <t>Contribution sur coûts de bureau</t>
  </si>
  <si>
    <t>Entretien des immobilisations</t>
  </si>
  <si>
    <t>Budget de suivi</t>
  </si>
  <si>
    <t>Rencontre du comité technique de suivi</t>
  </si>
  <si>
    <t>Réunion du comité de pilotage</t>
  </si>
  <si>
    <t>Missions conjointes de suivi terrain</t>
  </si>
  <si>
    <t>Capitalisation des bonnes pratiques</t>
  </si>
  <si>
    <t>Budget pour l'évaluation finale indépendante</t>
  </si>
  <si>
    <t>Frais d'évaluation interne à mi-parcours</t>
  </si>
  <si>
    <t>Frais d'évaluation finale indépendante du projet</t>
  </si>
  <si>
    <t>Coûts supplémentaires total</t>
  </si>
  <si>
    <t>Sous-budget total du projet</t>
  </si>
  <si>
    <t>Coûts indirects (7%):</t>
  </si>
  <si>
    <t>Total</t>
  </si>
  <si>
    <t>SOURCE DE FINANCEMENT:</t>
  </si>
  <si>
    <t xml:space="preserve"># PROJET: </t>
  </si>
  <si>
    <t>Alhassane Touppé BARRY</t>
  </si>
  <si>
    <t>Carburant véhicule</t>
  </si>
  <si>
    <t>Frais Bancaire</t>
  </si>
  <si>
    <t>Rubrique de dépenses</t>
  </si>
  <si>
    <t>BUDGET</t>
  </si>
  <si>
    <t>DEPENSES</t>
  </si>
  <si>
    <t>%</t>
  </si>
  <si>
    <t>TOTAUX</t>
  </si>
  <si>
    <t>SOLDE</t>
  </si>
  <si>
    <t>Montant</t>
  </si>
  <si>
    <t xml:space="preserve">TITRE DU PROJET: </t>
  </si>
  <si>
    <t xml:space="preserve">PERIODE: </t>
  </si>
  <si>
    <t>00121768</t>
  </si>
  <si>
    <t>MISE EN ŒUVRE</t>
  </si>
  <si>
    <t>Consortium ACORD-GUINEE et AIDE-ET-ACTION</t>
  </si>
  <si>
    <t>RENFORCEMENT DE LA CONFRERIE DES CHASSEURS TRADITIONNELS(DONZO) POUR LA PROTECTION DE L’ENVIRONNEMENT ET LA COHESION SOCIALE EN HAUTE GUINEE</t>
  </si>
  <si>
    <t>Préparé par:</t>
  </si>
  <si>
    <t>Vérifié par:</t>
  </si>
  <si>
    <t>Mamadou TRAORE</t>
  </si>
  <si>
    <t>Assistant Comptable &amp; Logistique</t>
  </si>
  <si>
    <t>Responsable Admnistratif &amp; Financier</t>
  </si>
  <si>
    <t>% EWE</t>
  </si>
  <si>
    <t>GEWE</t>
  </si>
  <si>
    <t>% Mise en Œuvre</t>
  </si>
  <si>
    <t>TOTAL DEPENSES</t>
  </si>
  <si>
    <t>Frais administratif du projet (7% des dépenses justifiées)</t>
  </si>
  <si>
    <t>#</t>
  </si>
  <si>
    <t>Rubrique des dépenses</t>
  </si>
  <si>
    <t>RELIQUAT</t>
  </si>
  <si>
    <t>TAUX DE REALISATION</t>
  </si>
  <si>
    <t>OBSERVATIONS</t>
  </si>
  <si>
    <t>Total budget</t>
  </si>
  <si>
    <t>Cumulées depuis début de mise en œuvre</t>
  </si>
  <si>
    <t>par rapport au Budget total</t>
  </si>
  <si>
    <t>% d'exécution par rapport au budget global</t>
  </si>
  <si>
    <t>Achat des fournitures et petits matériels du bureau.</t>
  </si>
  <si>
    <t xml:space="preserve">Équipement, véhicules et mobilier </t>
  </si>
  <si>
    <t>Achat des matériels informatiques pour les trois structures et les équipements des moniteurs (motos, ordinateurs, téléphones etc…).</t>
  </si>
  <si>
    <t>Services contractuels</t>
  </si>
  <si>
    <t>Frais de déplacement</t>
  </si>
  <si>
    <t>Transferts et subventions aux homologues</t>
  </si>
  <si>
    <t>Frais généraux de fonctionnement et autres coûts directs</t>
  </si>
  <si>
    <t xml:space="preserve">Coûts indirects*  </t>
  </si>
  <si>
    <t>TOTAL</t>
  </si>
  <si>
    <t>TABLEAU DE SUIVI DES DEPENSES</t>
  </si>
  <si>
    <t>ACTIVITES</t>
  </si>
  <si>
    <t>Responsable des Opérations (60%)</t>
  </si>
  <si>
    <t>Chargé du plaidoyer, de mobilisation sociale (60%)</t>
  </si>
  <si>
    <t>Charge sociale</t>
  </si>
  <si>
    <t>Fourniture bureau</t>
  </si>
  <si>
    <t xml:space="preserve">Frais de mission Terrain </t>
  </si>
  <si>
    <t>DEPENSES 2020</t>
  </si>
  <si>
    <t>PLAN DE TRESOREIRE DU TRIMESTRE 1 ( Janvier, Fevrier et Mars) 2021</t>
  </si>
  <si>
    <t>N°</t>
  </si>
  <si>
    <t xml:space="preserve">Rubriques </t>
  </si>
  <si>
    <t>Nombre</t>
  </si>
  <si>
    <t>Prix  GNF</t>
  </si>
  <si>
    <t>Fréquence</t>
  </si>
  <si>
    <t>TOTAL A1</t>
  </si>
  <si>
    <t>RESSOURCES HUMAINES</t>
  </si>
  <si>
    <t>Responsable Genre (60%)</t>
  </si>
  <si>
    <t>Comptable (60%)</t>
  </si>
  <si>
    <t>Animateurs terrain (100%) / HERE</t>
  </si>
  <si>
    <t>FRAIS GENERAUX DE FONCTIONNEMENT</t>
  </si>
  <si>
    <t>Couts operationnels</t>
  </si>
  <si>
    <t xml:space="preserve">Contribution sur coûts de bureau </t>
  </si>
  <si>
    <t>Téléphone + connexion internet</t>
  </si>
  <si>
    <t>Eau, Electricité et divers</t>
  </si>
  <si>
    <t>Suivi-evaluation du projet</t>
  </si>
  <si>
    <t>Organiser un atelier régional de restitution des résultats de l'enquête</t>
  </si>
  <si>
    <t>Mise en place du cadre de concertation regional</t>
  </si>
  <si>
    <t>TOTAL BUDGET T1 (2021)</t>
  </si>
  <si>
    <t>DEPENSES 2021</t>
  </si>
  <si>
    <t>DEPENSES 01 AVRIL AU 30 JUIN 2021</t>
  </si>
  <si>
    <t>DEPENSES 01 JANVIER AU 31 MARS 2021</t>
  </si>
  <si>
    <t>Paiement des salaires du personnel (Juin 2020 à juin 2021).</t>
  </si>
  <si>
    <t>• Réalisation de l’Analyser du cadre légal actuel des Donsos; 
• Production du Guide sur le cadre légal des Donsos
• production des supports de communication pour la visibilité;
• Production du 1er numéro du bulletin d’information</t>
  </si>
  <si>
    <t>TOTAL DEPENSES  2021</t>
  </si>
  <si>
    <t>TOTAL DEPENSES 2020</t>
  </si>
  <si>
    <t>• Frais de missions de suivi pour la mise en œuvre des activités en haute Guinée.
• Mission conjointe de suivi avec les cadres techniques des départements ministériels.</t>
  </si>
  <si>
    <r>
      <rPr>
        <b/>
        <sz val="8"/>
        <color rgb="FF000000"/>
        <rFont val="Century Gothic"/>
        <family val="2"/>
      </rPr>
      <t>Les dépenses effectuées par le partenaire Aide-et-action :</t>
    </r>
    <r>
      <rPr>
        <sz val="8"/>
        <color rgb="FF000000"/>
        <rFont val="Century Gothic"/>
        <family val="2"/>
      </rPr>
      <t xml:space="preserve">
• A121: Identifier et appuyer les cadres de concertation pour les échanges inclusifs interprofessionnels et intergénérationnels (CCDI) ;
• A111: Cartographier les confréries des chasseurs donsos en Haute Guinée;
• A114: Renforcer les capacités des associations donsos à jouer leur rôle selon le cadre légal ;
• A221: Former les associations des chasseurs  donsos sur la lutte contre les VBG et le genre;
• Prise en charge du personnel de AIDE ET ACTION 
• Frais de déplacement de AIDE ET ACTION
• Couts opérationnels du Bureau de AIDE ET ACTION </t>
    </r>
  </si>
  <si>
    <t>FONDS DES NATIONS UNIES POUR LA CONSOLIDATION DE LA PAIX (PBF)</t>
  </si>
  <si>
    <t>Consortium ACORD-GUINEE &amp; AIDE-ET-ACTION</t>
  </si>
  <si>
    <t>01 juillet - 25 Octobre 2021</t>
  </si>
  <si>
    <t>• A122: Formation sur les notions de droits de l’homme, paix, cohésion sociale et citoyenneté ;
• A211: Identification et formation des moniteurs communautaires, des FDS, des donsos et des élus locaux sur le système d’alerte précoce et de réponse aux conflits ;
• A231: Atelier régional sur les techniques de monitoring des droits de l’Homme ;
• A311: formation sur l’écocitoyenneté, la responsabilité individuelle et collective des populations face à la dégradation de l’environnement et de l'écosystème ; 
• A113: Organiser un atelier régional de réflexion sur la réglementation actuelle de la confrérie des Donsos ;
• A312: Soutenir les plans d’actions de sensibilisation sur la préservation de la biodiversité, de l’environnement et le renforcement de la cohésion sociale ;
• A321: Appui aux associations de femmes donsos dans la culture maraichère ;
• Frais de fonctionnement du bureau. 
• Réunions du comité technique du projet et autres coûts directs.</t>
  </si>
  <si>
    <t>DEPENSES 01 JUILLET AU 25 octobre 2021</t>
  </si>
  <si>
    <t>Transfert réçu</t>
  </si>
  <si>
    <t>% d'exécution par aux transferts réçus</t>
  </si>
  <si>
    <t>par rapport aux transferts réçus</t>
  </si>
  <si>
    <t>BUDGET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</si>
</sst>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 &quot;#,##0.00&quot;   &quot;;&quot;-&quot;#,##0.00&quot;   &quot;;&quot; -&quot;00&quot;   &quot;;&quot; &quot;@&quot; &quot;"/>
    <numFmt numFmtId="165" formatCode="&quot; &quot;#,##0&quot;   &quot;;&quot;-&quot;#,##0&quot;   &quot;;&quot; -&quot;00&quot;   &quot;;&quot; &quot;@&quot; &quot;"/>
    <numFmt numFmtId="166" formatCode="_(* #,##0_);_(* \(#,##0\);_(* &quot;-&quot;??_);_(@_)"/>
    <numFmt numFmtId="167" formatCode="_-* #,##0\ _€_-;\-* #,##0\ _€_-;_-* &quot;-&quot;??\ _€_-;_-@_-"/>
    <numFmt numFmtId="168" formatCode="#\ ###\ ###\ ###\ ###.00"/>
    <numFmt numFmtId="169" formatCode="mm/dd/yyyy"/>
    <numFmt numFmtId="170" formatCode="&quot;$&quot;#,##0"/>
    <numFmt numFmtId="171" formatCode="_-* #,##0_-;\-* #,##0_-;_-* &quot;-&quot;??_-;_-@_-"/>
    <numFmt numFmtId="172" formatCode="_(* #,##0.00_);_(* \(#,##0.00\);_(* &quot;-&quot;??_);_(@_)"/>
    <numFmt numFmtId="173" formatCode="#,##0;[Red]#,##0"/>
    <numFmt numFmtId="174" formatCode="0.000%"/>
  </numFmts>
  <fonts count="3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theme="1"/>
      <name val="Century Gothic"/>
      <family val="2"/>
    </font>
    <font>
      <b/>
      <sz val="9"/>
      <color theme="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8"/>
      <color rgb="FF000000"/>
      <name val="Arial"/>
      <family val="2"/>
    </font>
    <font>
      <b/>
      <sz val="8"/>
      <name val="Century Gothic"/>
      <family val="2"/>
    </font>
    <font>
      <sz val="8"/>
      <color theme="5" tint="-0.499984740745262"/>
      <name val="Century Gothic"/>
      <family val="2"/>
    </font>
    <font>
      <b/>
      <sz val="8"/>
      <color theme="5" tint="-0.499984740745262"/>
      <name val="Century Gothic"/>
      <family val="2"/>
    </font>
    <font>
      <b/>
      <sz val="9"/>
      <color theme="5" tint="-0.499984740745262"/>
      <name val="Century Gothic"/>
      <family val="2"/>
    </font>
    <font>
      <sz val="11"/>
      <color theme="5" tint="-0.499984740745262"/>
      <name val="Calibri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i/>
      <sz val="8"/>
      <color theme="5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E7E6E6"/>
      </patternFill>
    </fill>
    <fill>
      <patternFill patternType="solid">
        <fgColor theme="9" tint="-0.249977111117893"/>
        <bgColor rgb="FFE7E6E6"/>
      </patternFill>
    </fill>
    <fill>
      <patternFill patternType="solid">
        <fgColor theme="9" tint="-0.249977111117893"/>
        <bgColor rgb="FFE2EFDA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E7E6E6"/>
      </patternFill>
    </fill>
    <fill>
      <patternFill patternType="solid">
        <fgColor indexed="5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rgb="FFE7E6E6"/>
      </patternFill>
    </fill>
  </fills>
  <borders count="8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rgb="FF00000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00000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00000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thin">
        <color rgb="FF7030A0"/>
      </bottom>
      <diagonal/>
    </border>
    <border>
      <left style="medium">
        <color rgb="FF00000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 style="medium">
        <color rgb="FF000000"/>
      </right>
      <top style="thin">
        <color rgb="FF7030A0"/>
      </top>
      <bottom style="medium">
        <color rgb="FF000000"/>
      </bottom>
      <diagonal/>
    </border>
    <border>
      <left style="thin">
        <color rgb="FF7030A0"/>
      </left>
      <right/>
      <top style="thin">
        <color rgb="FF00000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7030A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theme="1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7030A0"/>
      </right>
      <top style="medium">
        <color rgb="FF00000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000000"/>
      </top>
      <bottom style="thin">
        <color rgb="FF7030A0"/>
      </bottom>
      <diagonal/>
    </border>
    <border>
      <left style="thin">
        <color rgb="FF7030A0"/>
      </left>
      <right/>
      <top style="medium">
        <color rgb="FF000000"/>
      </top>
      <bottom style="thin">
        <color rgb="FF7030A0"/>
      </bottom>
      <diagonal/>
    </border>
    <border>
      <left style="thin">
        <color rgb="FF7030A0"/>
      </left>
      <right style="medium">
        <color rgb="FF000000"/>
      </right>
      <top style="medium">
        <color rgb="FF000000"/>
      </top>
      <bottom style="thin">
        <color rgb="FF7030A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7030A0"/>
      </left>
      <right style="thin">
        <color rgb="FF7030A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rgb="FF7030A0"/>
      </bottom>
      <diagonal/>
    </border>
    <border>
      <left/>
      <right style="thin">
        <color theme="0"/>
      </right>
      <top style="medium">
        <color auto="1"/>
      </top>
      <bottom style="thin">
        <color rgb="FF7030A0"/>
      </bottom>
      <diagonal/>
    </border>
    <border>
      <left style="thin">
        <color theme="0"/>
      </left>
      <right/>
      <top style="medium">
        <color auto="1"/>
      </top>
      <bottom/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00000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0" fontId="11" fillId="0" borderId="0" applyNumberFormat="0" applyFont="0" applyProtection="0">
      <alignment horizontal="left" vertical="center" wrapText="1"/>
    </xf>
    <xf numFmtId="4" fontId="12" fillId="14" borderId="0" applyFont="0" applyProtection="0">
      <alignment horizontal="left" vertical="center" wrapText="1"/>
    </xf>
    <xf numFmtId="168" fontId="7" fillId="0" borderId="0" applyFont="0" applyFill="0" applyProtection="0">
      <alignment wrapText="1"/>
    </xf>
    <xf numFmtId="169" fontId="7" fillId="0" borderId="0" applyFont="0" applyFill="0" applyAlignment="0" applyProtection="0"/>
    <xf numFmtId="168" fontId="7" fillId="0" borderId="0" applyFont="0" applyFill="0" applyAlignment="0" applyProtection="0"/>
    <xf numFmtId="172" fontId="7" fillId="0" borderId="0" applyFont="0" applyFill="0" applyBorder="0" applyAlignment="0" applyProtection="0"/>
  </cellStyleXfs>
  <cellXfs count="299">
    <xf numFmtId="0" fontId="0" fillId="0" borderId="0" xfId="0"/>
    <xf numFmtId="0" fontId="8" fillId="0" borderId="17" xfId="0" applyFont="1" applyBorder="1" applyAlignment="1">
      <alignment vertical="center" wrapText="1"/>
    </xf>
    <xf numFmtId="0" fontId="0" fillId="0" borderId="17" xfId="0" applyBorder="1"/>
    <xf numFmtId="164" fontId="8" fillId="0" borderId="17" xfId="1" applyFont="1" applyBorder="1" applyAlignment="1">
      <alignment vertical="center" wrapText="1"/>
    </xf>
    <xf numFmtId="164" fontId="0" fillId="0" borderId="0" xfId="1" applyFont="1"/>
    <xf numFmtId="165" fontId="8" fillId="0" borderId="17" xfId="1" applyNumberFormat="1" applyFont="1" applyBorder="1" applyAlignment="1">
      <alignment vertical="center" wrapText="1"/>
    </xf>
    <xf numFmtId="165" fontId="0" fillId="0" borderId="17" xfId="1" applyNumberFormat="1" applyFont="1" applyBorder="1"/>
    <xf numFmtId="165" fontId="0" fillId="0" borderId="0" xfId="1" applyNumberFormat="1" applyFont="1"/>
    <xf numFmtId="9" fontId="0" fillId="0" borderId="17" xfId="2" applyFont="1" applyBorder="1"/>
    <xf numFmtId="0" fontId="0" fillId="0" borderId="0" xfId="0" applyAlignment="1">
      <alignment vertical="center" wrapText="1"/>
    </xf>
    <xf numFmtId="0" fontId="9" fillId="0" borderId="0" xfId="0" applyFont="1"/>
    <xf numFmtId="0" fontId="10" fillId="0" borderId="0" xfId="0" applyFont="1"/>
    <xf numFmtId="164" fontId="10" fillId="0" borderId="5" xfId="1" applyFont="1" applyBorder="1" applyAlignment="1">
      <alignment horizontal="right" vertical="center" wrapText="1"/>
    </xf>
    <xf numFmtId="164" fontId="9" fillId="0" borderId="5" xfId="1" applyFont="1" applyBorder="1" applyAlignment="1">
      <alignment horizontal="right" vertical="center" wrapText="1"/>
    </xf>
    <xf numFmtId="164" fontId="9" fillId="0" borderId="6" xfId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horizontal="justify" vertical="center" wrapText="1"/>
    </xf>
    <xf numFmtId="0" fontId="10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9" fillId="4" borderId="5" xfId="0" applyFont="1" applyFill="1" applyBorder="1" applyAlignment="1">
      <alignment horizontal="justify" vertical="center"/>
    </xf>
    <xf numFmtId="0" fontId="9" fillId="4" borderId="5" xfId="0" applyFont="1" applyFill="1" applyBorder="1" applyAlignment="1">
      <alignment horizontal="justify" vertical="center" wrapText="1"/>
    </xf>
    <xf numFmtId="0" fontId="9" fillId="4" borderId="6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9" borderId="2" xfId="0" applyFont="1" applyFill="1" applyBorder="1" applyAlignment="1">
      <alignment horizontal="justify" vertical="center" wrapText="1"/>
    </xf>
    <xf numFmtId="0" fontId="10" fillId="8" borderId="3" xfId="0" applyFont="1" applyFill="1" applyBorder="1" applyAlignment="1">
      <alignment horizontal="justify" vertical="center" wrapText="1"/>
    </xf>
    <xf numFmtId="0" fontId="10" fillId="12" borderId="8" xfId="0" applyFont="1" applyFill="1" applyBorder="1" applyAlignment="1">
      <alignment horizontal="justify" vertical="center" wrapText="1"/>
    </xf>
    <xf numFmtId="3" fontId="10" fillId="12" borderId="9" xfId="0" applyNumberFormat="1" applyFont="1" applyFill="1" applyBorder="1" applyAlignment="1">
      <alignment horizontal="right" vertical="center" wrapText="1"/>
    </xf>
    <xf numFmtId="0" fontId="9" fillId="3" borderId="18" xfId="0" applyFont="1" applyFill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164" fontId="9" fillId="0" borderId="19" xfId="1" applyFont="1" applyBorder="1" applyAlignment="1">
      <alignment horizontal="right" vertical="center" wrapText="1"/>
    </xf>
    <xf numFmtId="0" fontId="9" fillId="3" borderId="21" xfId="0" applyFont="1" applyFill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164" fontId="9" fillId="0" borderId="22" xfId="1" applyFont="1" applyBorder="1" applyAlignment="1">
      <alignment horizontal="right" vertical="center" wrapText="1"/>
    </xf>
    <xf numFmtId="0" fontId="9" fillId="3" borderId="24" xfId="0" applyFont="1" applyFill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164" fontId="9" fillId="0" borderId="25" xfId="1" applyFont="1" applyBorder="1" applyAlignment="1">
      <alignment horizontal="right" vertical="center" wrapText="1"/>
    </xf>
    <xf numFmtId="164" fontId="10" fillId="0" borderId="27" xfId="1" applyFont="1" applyBorder="1" applyAlignment="1">
      <alignment horizontal="right" vertical="center" wrapText="1"/>
    </xf>
    <xf numFmtId="164" fontId="10" fillId="0" borderId="28" xfId="1" applyFont="1" applyBorder="1" applyAlignment="1">
      <alignment horizontal="right" vertical="center" wrapText="1"/>
    </xf>
    <xf numFmtId="164" fontId="10" fillId="0" borderId="29" xfId="1" applyFont="1" applyBorder="1" applyAlignment="1">
      <alignment horizontal="right" vertical="center" wrapText="1"/>
    </xf>
    <xf numFmtId="164" fontId="9" fillId="3" borderId="19" xfId="1" applyFont="1" applyFill="1" applyBorder="1" applyAlignment="1">
      <alignment horizontal="right" vertical="center" wrapText="1"/>
    </xf>
    <xf numFmtId="164" fontId="9" fillId="3" borderId="22" xfId="1" applyFont="1" applyFill="1" applyBorder="1" applyAlignment="1">
      <alignment horizontal="right" vertical="center" wrapText="1"/>
    </xf>
    <xf numFmtId="164" fontId="9" fillId="3" borderId="25" xfId="1" applyFont="1" applyFill="1" applyBorder="1" applyAlignment="1">
      <alignment horizontal="right" vertical="center" wrapText="1"/>
    </xf>
    <xf numFmtId="164" fontId="10" fillId="2" borderId="22" xfId="1" applyFont="1" applyFill="1" applyBorder="1" applyAlignment="1">
      <alignment horizontal="right" vertical="center" wrapText="1"/>
    </xf>
    <xf numFmtId="0" fontId="6" fillId="0" borderId="0" xfId="4" applyFont="1" applyAlignment="1">
      <alignment vertical="center" wrapText="1"/>
    </xf>
    <xf numFmtId="0" fontId="6" fillId="0" borderId="0" xfId="0" applyFont="1"/>
    <xf numFmtId="0" fontId="5" fillId="13" borderId="15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justify" vertical="center" wrapText="1"/>
    </xf>
    <xf numFmtId="0" fontId="5" fillId="13" borderId="36" xfId="0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4" fillId="0" borderId="16" xfId="3" applyFont="1" applyBorder="1" applyAlignment="1">
      <alignment horizontal="right" vertical="center" wrapText="1"/>
    </xf>
    <xf numFmtId="164" fontId="9" fillId="0" borderId="0" xfId="1" applyFont="1"/>
    <xf numFmtId="164" fontId="10" fillId="2" borderId="28" xfId="1" applyFont="1" applyFill="1" applyBorder="1" applyAlignment="1">
      <alignment horizontal="right" vertical="center" wrapText="1"/>
    </xf>
    <xf numFmtId="0" fontId="10" fillId="11" borderId="4" xfId="0" applyFont="1" applyFill="1" applyBorder="1" applyAlignment="1">
      <alignment vertical="center" wrapText="1"/>
    </xf>
    <xf numFmtId="0" fontId="9" fillId="3" borderId="33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10" fillId="9" borderId="39" xfId="0" applyFont="1" applyFill="1" applyBorder="1" applyAlignment="1">
      <alignment horizontal="justify" vertical="center" wrapText="1"/>
    </xf>
    <xf numFmtId="0" fontId="10" fillId="10" borderId="40" xfId="0" applyFont="1" applyFill="1" applyBorder="1" applyAlignment="1">
      <alignment vertical="center"/>
    </xf>
    <xf numFmtId="0" fontId="10" fillId="10" borderId="40" xfId="0" applyFont="1" applyFill="1" applyBorder="1" applyAlignment="1">
      <alignment vertical="center" wrapText="1"/>
    </xf>
    <xf numFmtId="0" fontId="10" fillId="10" borderId="41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vertical="center"/>
    </xf>
    <xf numFmtId="0" fontId="10" fillId="8" borderId="42" xfId="0" applyFont="1" applyFill="1" applyBorder="1" applyAlignment="1">
      <alignment horizontal="justify" vertical="center" wrapText="1"/>
    </xf>
    <xf numFmtId="0" fontId="10" fillId="11" borderId="43" xfId="0" applyFont="1" applyFill="1" applyBorder="1" applyAlignment="1">
      <alignment vertical="center"/>
    </xf>
    <xf numFmtId="0" fontId="10" fillId="11" borderId="43" xfId="0" applyFont="1" applyFill="1" applyBorder="1" applyAlignment="1">
      <alignment vertical="center" wrapText="1"/>
    </xf>
    <xf numFmtId="0" fontId="10" fillId="11" borderId="44" xfId="0" applyFont="1" applyFill="1" applyBorder="1" applyAlignment="1">
      <alignment vertical="center" wrapText="1"/>
    </xf>
    <xf numFmtId="9" fontId="9" fillId="0" borderId="27" xfId="2" applyFont="1" applyBorder="1" applyAlignment="1">
      <alignment horizontal="right" vertical="center" wrapText="1"/>
    </xf>
    <xf numFmtId="9" fontId="9" fillId="0" borderId="28" xfId="2" applyFont="1" applyBorder="1" applyAlignment="1">
      <alignment horizontal="right" vertical="center" wrapText="1"/>
    </xf>
    <xf numFmtId="9" fontId="9" fillId="0" borderId="29" xfId="2" applyFont="1" applyBorder="1" applyAlignment="1">
      <alignment horizontal="right" vertical="center" wrapText="1"/>
    </xf>
    <xf numFmtId="0" fontId="10" fillId="11" borderId="37" xfId="0" applyFont="1" applyFill="1" applyBorder="1" applyAlignment="1">
      <alignment vertical="center"/>
    </xf>
    <xf numFmtId="0" fontId="10" fillId="10" borderId="45" xfId="0" applyFont="1" applyFill="1" applyBorder="1" applyAlignment="1">
      <alignment vertical="center"/>
    </xf>
    <xf numFmtId="0" fontId="10" fillId="11" borderId="40" xfId="0" applyFont="1" applyFill="1" applyBorder="1" applyAlignment="1">
      <alignment vertical="center" wrapText="1"/>
    </xf>
    <xf numFmtId="0" fontId="10" fillId="11" borderId="41" xfId="0" applyFont="1" applyFill="1" applyBorder="1" applyAlignment="1">
      <alignment vertical="center" wrapText="1"/>
    </xf>
    <xf numFmtId="0" fontId="10" fillId="11" borderId="45" xfId="0" applyFont="1" applyFill="1" applyBorder="1" applyAlignment="1">
      <alignment vertical="center"/>
    </xf>
    <xf numFmtId="0" fontId="10" fillId="11" borderId="40" xfId="0" applyFont="1" applyFill="1" applyBorder="1" applyAlignment="1">
      <alignment vertical="center"/>
    </xf>
    <xf numFmtId="0" fontId="10" fillId="11" borderId="41" xfId="0" applyFont="1" applyFill="1" applyBorder="1" applyAlignment="1">
      <alignment vertical="center"/>
    </xf>
    <xf numFmtId="164" fontId="5" fillId="13" borderId="15" xfId="1" applyFont="1" applyFill="1" applyBorder="1" applyAlignment="1">
      <alignment horizontal="left" vertical="center" wrapText="1"/>
    </xf>
    <xf numFmtId="164" fontId="10" fillId="10" borderId="40" xfId="1" applyFont="1" applyFill="1" applyBorder="1" applyAlignment="1">
      <alignment vertical="center" wrapText="1"/>
    </xf>
    <xf numFmtId="164" fontId="10" fillId="11" borderId="43" xfId="1" applyFont="1" applyFill="1" applyBorder="1" applyAlignment="1">
      <alignment vertical="center" wrapText="1"/>
    </xf>
    <xf numFmtId="164" fontId="10" fillId="12" borderId="9" xfId="1" applyFont="1" applyFill="1" applyBorder="1" applyAlignment="1">
      <alignment horizontal="right" vertical="center" wrapText="1"/>
    </xf>
    <xf numFmtId="164" fontId="10" fillId="11" borderId="4" xfId="1" applyFont="1" applyFill="1" applyBorder="1" applyAlignment="1">
      <alignment vertical="center" wrapText="1"/>
    </xf>
    <xf numFmtId="164" fontId="9" fillId="4" borderId="0" xfId="1" applyFont="1" applyFill="1" applyAlignment="1">
      <alignment horizontal="justify" vertical="center" wrapText="1"/>
    </xf>
    <xf numFmtId="164" fontId="9" fillId="4" borderId="0" xfId="1" applyFont="1" applyFill="1" applyAlignment="1">
      <alignment vertical="center" wrapText="1"/>
    </xf>
    <xf numFmtId="164" fontId="10" fillId="11" borderId="40" xfId="1" applyFont="1" applyFill="1" applyBorder="1" applyAlignment="1">
      <alignment vertical="center"/>
    </xf>
    <xf numFmtId="164" fontId="5" fillId="13" borderId="10" xfId="1" applyFont="1" applyFill="1" applyBorder="1" applyAlignment="1">
      <alignment horizontal="left" vertical="center" wrapText="1"/>
    </xf>
    <xf numFmtId="9" fontId="9" fillId="0" borderId="20" xfId="2" applyFont="1" applyBorder="1" applyAlignment="1">
      <alignment horizontal="center" vertical="center" wrapText="1"/>
    </xf>
    <xf numFmtId="9" fontId="9" fillId="0" borderId="23" xfId="2" applyFont="1" applyBorder="1" applyAlignment="1">
      <alignment horizontal="center" vertical="center" wrapText="1"/>
    </xf>
    <xf numFmtId="9" fontId="9" fillId="0" borderId="26" xfId="2" applyFont="1" applyBorder="1" applyAlignment="1">
      <alignment horizontal="center" vertical="center" wrapText="1"/>
    </xf>
    <xf numFmtId="9" fontId="10" fillId="12" borderId="1" xfId="2" applyFont="1" applyFill="1" applyBorder="1" applyAlignment="1">
      <alignment horizontal="center" vertical="center" wrapText="1"/>
    </xf>
    <xf numFmtId="164" fontId="10" fillId="10" borderId="40" xfId="1" applyFont="1" applyFill="1" applyBorder="1" applyAlignment="1">
      <alignment vertical="center"/>
    </xf>
    <xf numFmtId="0" fontId="10" fillId="10" borderId="41" xfId="0" applyFont="1" applyFill="1" applyBorder="1" applyAlignment="1">
      <alignment vertical="center"/>
    </xf>
    <xf numFmtId="164" fontId="10" fillId="11" borderId="43" xfId="1" applyFont="1" applyFill="1" applyBorder="1" applyAlignment="1">
      <alignment vertical="center"/>
    </xf>
    <xf numFmtId="0" fontId="10" fillId="11" borderId="44" xfId="0" applyFont="1" applyFill="1" applyBorder="1" applyAlignment="1">
      <alignment vertical="center"/>
    </xf>
    <xf numFmtId="164" fontId="10" fillId="11" borderId="40" xfId="1" applyFont="1" applyFill="1" applyBorder="1" applyAlignment="1">
      <alignment vertical="center" wrapText="1"/>
    </xf>
    <xf numFmtId="9" fontId="9" fillId="0" borderId="4" xfId="2" applyFont="1" applyBorder="1" applyAlignment="1">
      <alignment horizontal="center" vertical="center" wrapText="1"/>
    </xf>
    <xf numFmtId="9" fontId="9" fillId="0" borderId="7" xfId="2" applyFont="1" applyBorder="1" applyAlignment="1">
      <alignment horizontal="center" vertical="center" wrapText="1"/>
    </xf>
    <xf numFmtId="9" fontId="9" fillId="0" borderId="37" xfId="2" applyFont="1" applyBorder="1" applyAlignment="1">
      <alignment horizontal="center" vertical="center" wrapText="1"/>
    </xf>
    <xf numFmtId="9" fontId="9" fillId="0" borderId="38" xfId="2" applyFont="1" applyBorder="1" applyAlignment="1">
      <alignment horizontal="center" vertical="center" wrapText="1"/>
    </xf>
    <xf numFmtId="10" fontId="10" fillId="2" borderId="35" xfId="2" applyNumberFormat="1" applyFont="1" applyFill="1" applyBorder="1" applyAlignment="1">
      <alignment horizontal="center" vertical="center" wrapText="1"/>
    </xf>
    <xf numFmtId="10" fontId="5" fillId="13" borderId="14" xfId="2" applyNumberFormat="1" applyFont="1" applyFill="1" applyBorder="1" applyAlignment="1">
      <alignment horizontal="center" vertical="center" wrapText="1"/>
    </xf>
    <xf numFmtId="164" fontId="10" fillId="3" borderId="22" xfId="1" applyFont="1" applyFill="1" applyBorder="1" applyAlignment="1">
      <alignment horizontal="center" vertical="center" wrapText="1"/>
    </xf>
    <xf numFmtId="165" fontId="5" fillId="13" borderId="1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10" fillId="16" borderId="19" xfId="1" applyNumberFormat="1" applyFont="1" applyFill="1" applyBorder="1" applyAlignment="1">
      <alignment horizontal="center" vertical="center" wrapText="1"/>
    </xf>
    <xf numFmtId="165" fontId="10" fillId="10" borderId="40" xfId="1" applyNumberFormat="1" applyFont="1" applyFill="1" applyBorder="1" applyAlignment="1">
      <alignment vertical="center" wrapText="1"/>
    </xf>
    <xf numFmtId="165" fontId="10" fillId="11" borderId="43" xfId="1" applyNumberFormat="1" applyFont="1" applyFill="1" applyBorder="1" applyAlignment="1">
      <alignment vertical="center" wrapText="1"/>
    </xf>
    <xf numFmtId="165" fontId="10" fillId="16" borderId="19" xfId="1" applyNumberFormat="1" applyFont="1" applyFill="1" applyBorder="1" applyAlignment="1">
      <alignment horizontal="right" vertical="center" wrapText="1"/>
    </xf>
    <xf numFmtId="165" fontId="10" fillId="12" borderId="9" xfId="1" applyNumberFormat="1" applyFont="1" applyFill="1" applyBorder="1" applyAlignment="1">
      <alignment horizontal="right" vertical="center" wrapText="1"/>
    </xf>
    <xf numFmtId="165" fontId="10" fillId="11" borderId="4" xfId="1" applyNumberFormat="1" applyFont="1" applyFill="1" applyBorder="1" applyAlignment="1">
      <alignment vertical="center" wrapText="1"/>
    </xf>
    <xf numFmtId="165" fontId="9" fillId="4" borderId="0" xfId="1" applyNumberFormat="1" applyFont="1" applyFill="1" applyAlignment="1">
      <alignment horizontal="justify" vertical="center" wrapText="1"/>
    </xf>
    <xf numFmtId="165" fontId="10" fillId="10" borderId="40" xfId="1" applyNumberFormat="1" applyFont="1" applyFill="1" applyBorder="1" applyAlignment="1">
      <alignment vertical="center"/>
    </xf>
    <xf numFmtId="165" fontId="10" fillId="11" borderId="43" xfId="1" applyNumberFormat="1" applyFont="1" applyFill="1" applyBorder="1" applyAlignment="1">
      <alignment vertical="center"/>
    </xf>
    <xf numFmtId="165" fontId="10" fillId="11" borderId="40" xfId="1" applyNumberFormat="1" applyFont="1" applyFill="1" applyBorder="1" applyAlignment="1">
      <alignment vertical="center" wrapText="1"/>
    </xf>
    <xf numFmtId="165" fontId="9" fillId="4" borderId="0" xfId="1" applyNumberFormat="1" applyFont="1" applyFill="1" applyAlignment="1">
      <alignment vertical="center" wrapText="1"/>
    </xf>
    <xf numFmtId="165" fontId="10" fillId="11" borderId="40" xfId="1" applyNumberFormat="1" applyFont="1" applyFill="1" applyBorder="1" applyAlignment="1">
      <alignment vertical="center"/>
    </xf>
    <xf numFmtId="165" fontId="5" fillId="13" borderId="15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Border="1"/>
    <xf numFmtId="167" fontId="15" fillId="5" borderId="0" xfId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0" fontId="18" fillId="0" borderId="0" xfId="0" applyNumberFormat="1" applyFont="1" applyAlignment="1">
      <alignment vertical="center" wrapText="1"/>
    </xf>
    <xf numFmtId="165" fontId="10" fillId="3" borderId="22" xfId="1" applyNumberFormat="1" applyFont="1" applyFill="1" applyBorder="1" applyAlignment="1">
      <alignment horizontal="center" vertical="center" wrapText="1"/>
    </xf>
    <xf numFmtId="165" fontId="9" fillId="3" borderId="19" xfId="1" applyNumberFormat="1" applyFont="1" applyFill="1" applyBorder="1" applyAlignment="1">
      <alignment horizontal="right" vertical="center" wrapText="1"/>
    </xf>
    <xf numFmtId="165" fontId="9" fillId="3" borderId="22" xfId="1" applyNumberFormat="1" applyFont="1" applyFill="1" applyBorder="1" applyAlignment="1">
      <alignment horizontal="right" vertical="center" wrapText="1"/>
    </xf>
    <xf numFmtId="165" fontId="9" fillId="3" borderId="25" xfId="1" applyNumberFormat="1" applyFont="1" applyFill="1" applyBorder="1" applyAlignment="1">
      <alignment horizontal="right" vertical="center" wrapText="1"/>
    </xf>
    <xf numFmtId="165" fontId="10" fillId="2" borderId="22" xfId="1" applyNumberFormat="1" applyFont="1" applyFill="1" applyBorder="1" applyAlignment="1">
      <alignment horizontal="right" vertical="center" wrapText="1"/>
    </xf>
    <xf numFmtId="165" fontId="9" fillId="15" borderId="19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0" fillId="0" borderId="0" xfId="0" applyFont="1" applyBorder="1"/>
    <xf numFmtId="0" fontId="19" fillId="0" borderId="0" xfId="0" applyFont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5" borderId="46" xfId="1" applyNumberFormat="1" applyFont="1" applyFill="1" applyBorder="1" applyAlignment="1">
      <alignment horizontal="center" vertical="center" wrapText="1"/>
    </xf>
    <xf numFmtId="3" fontId="24" fillId="0" borderId="14" xfId="1" applyNumberFormat="1" applyFont="1" applyBorder="1" applyAlignment="1">
      <alignment horizontal="right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left" vertical="center" wrapText="1"/>
    </xf>
    <xf numFmtId="3" fontId="23" fillId="5" borderId="46" xfId="0" applyNumberFormat="1" applyFont="1" applyFill="1" applyBorder="1" applyAlignment="1">
      <alignment horizontal="right" vertical="center"/>
    </xf>
    <xf numFmtId="3" fontId="23" fillId="17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1" fontId="25" fillId="5" borderId="14" xfId="0" applyNumberFormat="1" applyFont="1" applyFill="1" applyBorder="1" applyAlignment="1" applyProtection="1">
      <alignment horizontal="left" vertical="center"/>
      <protection locked="0"/>
    </xf>
    <xf numFmtId="167" fontId="21" fillId="5" borderId="46" xfId="1" applyNumberFormat="1" applyFont="1" applyFill="1" applyBorder="1" applyAlignment="1">
      <alignment vertical="center"/>
    </xf>
    <xf numFmtId="167" fontId="21" fillId="0" borderId="14" xfId="1" applyNumberFormat="1" applyFont="1" applyBorder="1" applyAlignment="1">
      <alignment vertical="center"/>
    </xf>
    <xf numFmtId="167" fontId="26" fillId="7" borderId="14" xfId="1" applyNumberFormat="1" applyFont="1" applyFill="1" applyBorder="1" applyAlignment="1">
      <alignment vertical="center"/>
    </xf>
    <xf numFmtId="167" fontId="21" fillId="0" borderId="1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Border="1"/>
    <xf numFmtId="0" fontId="22" fillId="0" borderId="0" xfId="0" applyFont="1"/>
    <xf numFmtId="0" fontId="3" fillId="7" borderId="14" xfId="0" applyFont="1" applyFill="1" applyBorder="1" applyAlignment="1">
      <alignment horizontal="center" vertical="center" wrapText="1"/>
    </xf>
    <xf numFmtId="171" fontId="25" fillId="7" borderId="14" xfId="0" applyNumberFormat="1" applyFont="1" applyFill="1" applyBorder="1" applyAlignment="1" applyProtection="1">
      <alignment horizontal="left" vertical="center"/>
      <protection locked="0"/>
    </xf>
    <xf numFmtId="167" fontId="21" fillId="7" borderId="14" xfId="1" applyNumberFormat="1" applyFont="1" applyFill="1" applyBorder="1" applyAlignment="1">
      <alignment vertical="center"/>
    </xf>
    <xf numFmtId="171" fontId="25" fillId="5" borderId="14" xfId="0" applyNumberFormat="1" applyFont="1" applyFill="1" applyBorder="1" applyAlignment="1" applyProtection="1">
      <alignment horizontal="left" vertical="center" wrapText="1"/>
      <protection locked="0"/>
    </xf>
    <xf numFmtId="166" fontId="27" fillId="18" borderId="13" xfId="10" applyNumberFormat="1" applyFont="1" applyFill="1" applyBorder="1" applyAlignment="1">
      <alignment horizontal="center" vertical="center" wrapText="1"/>
    </xf>
    <xf numFmtId="1" fontId="9" fillId="3" borderId="22" xfId="1" applyNumberFormat="1" applyFont="1" applyFill="1" applyBorder="1" applyAlignment="1">
      <alignment horizontal="right" vertical="center" wrapText="1"/>
    </xf>
    <xf numFmtId="1" fontId="10" fillId="16" borderId="19" xfId="1" applyNumberFormat="1" applyFont="1" applyFill="1" applyBorder="1" applyAlignment="1">
      <alignment horizontal="right" vertical="center" wrapText="1"/>
    </xf>
    <xf numFmtId="173" fontId="9" fillId="3" borderId="22" xfId="1" applyNumberFormat="1" applyFont="1" applyFill="1" applyBorder="1" applyAlignment="1">
      <alignment horizontal="right" vertical="center" wrapText="1"/>
    </xf>
    <xf numFmtId="167" fontId="19" fillId="5" borderId="0" xfId="1" applyNumberFormat="1" applyFont="1" applyFill="1" applyBorder="1" applyAlignment="1">
      <alignment horizontal="left" vertical="center"/>
    </xf>
    <xf numFmtId="167" fontId="19" fillId="5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/>
    <xf numFmtId="167" fontId="29" fillId="5" borderId="0" xfId="1" applyNumberFormat="1" applyFont="1" applyFill="1" applyBorder="1" applyAlignment="1">
      <alignment horizontal="left" vertical="center"/>
    </xf>
    <xf numFmtId="0" fontId="30" fillId="0" borderId="0" xfId="0" applyFont="1" applyBorder="1"/>
    <xf numFmtId="0" fontId="16" fillId="6" borderId="57" xfId="0" applyFont="1" applyFill="1" applyBorder="1" applyAlignment="1">
      <alignment horizontal="center" vertical="center" wrapText="1"/>
    </xf>
    <xf numFmtId="0" fontId="16" fillId="6" borderId="58" xfId="0" applyFont="1" applyFill="1" applyBorder="1" applyAlignment="1">
      <alignment horizontal="left" vertical="center" wrapText="1"/>
    </xf>
    <xf numFmtId="170" fontId="16" fillId="6" borderId="58" xfId="0" applyNumberFormat="1" applyFont="1" applyFill="1" applyBorder="1" applyAlignment="1">
      <alignment horizontal="right" vertical="center" wrapText="1"/>
    </xf>
    <xf numFmtId="10" fontId="17" fillId="6" borderId="59" xfId="0" applyNumberFormat="1" applyFont="1" applyFill="1" applyBorder="1" applyAlignment="1">
      <alignment horizontal="center" vertical="center" wrapText="1"/>
    </xf>
    <xf numFmtId="0" fontId="16" fillId="6" borderId="6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13" fillId="0" borderId="0" xfId="0" applyNumberFormat="1" applyFont="1" applyAlignment="1">
      <alignment vertical="center" wrapText="1"/>
    </xf>
    <xf numFmtId="0" fontId="16" fillId="6" borderId="51" xfId="0" applyFont="1" applyFill="1" applyBorder="1" applyAlignment="1">
      <alignment horizontal="center" vertical="center" wrapText="1"/>
    </xf>
    <xf numFmtId="1" fontId="9" fillId="15" borderId="19" xfId="1" applyNumberFormat="1" applyFont="1" applyFill="1" applyBorder="1" applyAlignment="1">
      <alignment horizontal="right" vertical="center" wrapText="1"/>
    </xf>
    <xf numFmtId="165" fontId="31" fillId="15" borderId="15" xfId="1" applyNumberFormat="1" applyFont="1" applyFill="1" applyBorder="1" applyAlignment="1">
      <alignment horizontal="left" vertical="center" wrapText="1"/>
    </xf>
    <xf numFmtId="0" fontId="10" fillId="12" borderId="61" xfId="0" applyFont="1" applyFill="1" applyBorder="1" applyAlignment="1">
      <alignment horizontal="justify" vertical="center" wrapText="1"/>
    </xf>
    <xf numFmtId="3" fontId="10" fillId="12" borderId="62" xfId="0" applyNumberFormat="1" applyFont="1" applyFill="1" applyBorder="1" applyAlignment="1">
      <alignment horizontal="right" vertical="center" wrapText="1"/>
    </xf>
    <xf numFmtId="165" fontId="10" fillId="12" borderId="62" xfId="1" applyNumberFormat="1" applyFont="1" applyFill="1" applyBorder="1" applyAlignment="1">
      <alignment horizontal="right" vertical="center" wrapText="1"/>
    </xf>
    <xf numFmtId="164" fontId="10" fillId="12" borderId="62" xfId="1" applyFont="1" applyFill="1" applyBorder="1" applyAlignment="1">
      <alignment horizontal="right" vertical="center" wrapText="1"/>
    </xf>
    <xf numFmtId="3" fontId="10" fillId="12" borderId="62" xfId="0" applyNumberFormat="1" applyFont="1" applyFill="1" applyBorder="1" applyAlignment="1">
      <alignment horizontal="center" vertical="center" wrapText="1"/>
    </xf>
    <xf numFmtId="9" fontId="10" fillId="12" borderId="63" xfId="2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0" borderId="65" xfId="0" applyFont="1" applyBorder="1" applyAlignment="1">
      <alignment horizontal="justify" vertical="center" wrapText="1"/>
    </xf>
    <xf numFmtId="164" fontId="10" fillId="0" borderId="66" xfId="1" applyFont="1" applyBorder="1" applyAlignment="1">
      <alignment horizontal="right" vertical="center" wrapText="1"/>
    </xf>
    <xf numFmtId="165" fontId="9" fillId="3" borderId="65" xfId="1" applyNumberFormat="1" applyFont="1" applyFill="1" applyBorder="1" applyAlignment="1">
      <alignment horizontal="right" vertical="center" wrapText="1"/>
    </xf>
    <xf numFmtId="1" fontId="9" fillId="15" borderId="65" xfId="1" applyNumberFormat="1" applyFont="1" applyFill="1" applyBorder="1" applyAlignment="1">
      <alignment horizontal="right" vertical="center" wrapText="1"/>
    </xf>
    <xf numFmtId="164" fontId="9" fillId="3" borderId="65" xfId="1" applyFont="1" applyFill="1" applyBorder="1" applyAlignment="1">
      <alignment horizontal="right" vertical="center" wrapText="1"/>
    </xf>
    <xf numFmtId="165" fontId="10" fillId="16" borderId="65" xfId="1" applyNumberFormat="1" applyFont="1" applyFill="1" applyBorder="1" applyAlignment="1">
      <alignment horizontal="right" vertical="center" wrapText="1"/>
    </xf>
    <xf numFmtId="164" fontId="9" fillId="0" borderId="65" xfId="1" applyFont="1" applyBorder="1" applyAlignment="1">
      <alignment horizontal="right" vertical="center" wrapText="1"/>
    </xf>
    <xf numFmtId="9" fontId="9" fillId="0" borderId="66" xfId="2" applyFont="1" applyBorder="1" applyAlignment="1">
      <alignment horizontal="center" vertical="center" wrapText="1"/>
    </xf>
    <xf numFmtId="9" fontId="9" fillId="0" borderId="67" xfId="2" applyFont="1" applyBorder="1" applyAlignment="1">
      <alignment horizontal="center" vertical="center" wrapText="1"/>
    </xf>
    <xf numFmtId="1" fontId="9" fillId="3" borderId="25" xfId="1" applyNumberFormat="1" applyFont="1" applyFill="1" applyBorder="1" applyAlignment="1">
      <alignment horizontal="right" vertical="center" wrapText="1"/>
    </xf>
    <xf numFmtId="1" fontId="9" fillId="15" borderId="69" xfId="1" applyNumberFormat="1" applyFont="1" applyFill="1" applyBorder="1" applyAlignment="1">
      <alignment horizontal="right" vertical="center" wrapText="1"/>
    </xf>
    <xf numFmtId="165" fontId="10" fillId="16" borderId="69" xfId="1" applyNumberFormat="1" applyFont="1" applyFill="1" applyBorder="1" applyAlignment="1">
      <alignment horizontal="right" vertical="center" wrapText="1"/>
    </xf>
    <xf numFmtId="9" fontId="9" fillId="0" borderId="22" xfId="2" applyFont="1" applyBorder="1" applyAlignment="1">
      <alignment horizontal="center"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170" fontId="16" fillId="6" borderId="58" xfId="0" applyNumberFormat="1" applyFont="1" applyFill="1" applyBorder="1" applyAlignment="1">
      <alignment horizontal="center" vertical="center" wrapText="1"/>
    </xf>
    <xf numFmtId="9" fontId="9" fillId="0" borderId="22" xfId="2" applyFont="1" applyBorder="1" applyAlignment="1">
      <alignment horizontal="left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5" fillId="13" borderId="10" xfId="1" applyFont="1" applyFill="1" applyBorder="1" applyAlignment="1">
      <alignment horizontal="right" vertical="center" wrapText="1"/>
    </xf>
    <xf numFmtId="165" fontId="5" fillId="13" borderId="10" xfId="1" applyNumberFormat="1" applyFont="1" applyFill="1" applyBorder="1" applyAlignment="1">
      <alignment horizontal="right" vertical="center" wrapText="1"/>
    </xf>
    <xf numFmtId="164" fontId="10" fillId="0" borderId="70" xfId="1" applyFont="1" applyBorder="1" applyAlignment="1">
      <alignment horizontal="right" vertical="center" wrapText="1"/>
    </xf>
    <xf numFmtId="9" fontId="9" fillId="0" borderId="0" xfId="2" applyFont="1"/>
    <xf numFmtId="174" fontId="9" fillId="0" borderId="0" xfId="2" applyNumberFormat="1" applyFont="1"/>
    <xf numFmtId="164" fontId="32" fillId="0" borderId="0" xfId="1" applyFont="1"/>
    <xf numFmtId="165" fontId="33" fillId="15" borderId="15" xfId="1" applyNumberFormat="1" applyFont="1" applyFill="1" applyBorder="1" applyAlignment="1">
      <alignment horizontal="left" vertical="center" wrapText="1"/>
    </xf>
    <xf numFmtId="164" fontId="33" fillId="10" borderId="40" xfId="1" applyFont="1" applyFill="1" applyBorder="1" applyAlignment="1">
      <alignment vertical="center" wrapText="1"/>
    </xf>
    <xf numFmtId="164" fontId="33" fillId="11" borderId="43" xfId="1" applyFont="1" applyFill="1" applyBorder="1" applyAlignment="1">
      <alignment vertical="center" wrapText="1"/>
    </xf>
    <xf numFmtId="165" fontId="32" fillId="15" borderId="19" xfId="1" applyNumberFormat="1" applyFont="1" applyFill="1" applyBorder="1" applyAlignment="1">
      <alignment horizontal="right" vertical="center" wrapText="1"/>
    </xf>
    <xf numFmtId="164" fontId="33" fillId="12" borderId="9" xfId="1" applyFont="1" applyFill="1" applyBorder="1" applyAlignment="1">
      <alignment horizontal="right" vertical="center" wrapText="1"/>
    </xf>
    <xf numFmtId="164" fontId="33" fillId="11" borderId="4" xfId="1" applyFont="1" applyFill="1" applyBorder="1" applyAlignment="1">
      <alignment vertical="center" wrapText="1"/>
    </xf>
    <xf numFmtId="164" fontId="32" fillId="4" borderId="0" xfId="1" applyFont="1" applyFill="1" applyAlignment="1">
      <alignment horizontal="justify" vertical="center" wrapText="1"/>
    </xf>
    <xf numFmtId="164" fontId="33" fillId="10" borderId="40" xfId="1" applyFont="1" applyFill="1" applyBorder="1" applyAlignment="1">
      <alignment vertical="center"/>
    </xf>
    <xf numFmtId="164" fontId="33" fillId="11" borderId="43" xfId="1" applyFont="1" applyFill="1" applyBorder="1" applyAlignment="1">
      <alignment vertical="center"/>
    </xf>
    <xf numFmtId="164" fontId="33" fillId="11" borderId="40" xfId="1" applyFont="1" applyFill="1" applyBorder="1" applyAlignment="1">
      <alignment vertical="center" wrapText="1"/>
    </xf>
    <xf numFmtId="164" fontId="32" fillId="4" borderId="0" xfId="1" applyFont="1" applyFill="1" applyAlignment="1">
      <alignment vertical="center" wrapText="1"/>
    </xf>
    <xf numFmtId="1" fontId="32" fillId="15" borderId="19" xfId="1" applyNumberFormat="1" applyFont="1" applyFill="1" applyBorder="1" applyAlignment="1">
      <alignment horizontal="right" vertical="center" wrapText="1"/>
    </xf>
    <xf numFmtId="164" fontId="33" fillId="11" borderId="40" xfId="1" applyFont="1" applyFill="1" applyBorder="1" applyAlignment="1">
      <alignment vertical="center"/>
    </xf>
    <xf numFmtId="1" fontId="32" fillId="15" borderId="65" xfId="1" applyNumberFormat="1" applyFont="1" applyFill="1" applyBorder="1" applyAlignment="1">
      <alignment horizontal="right" vertical="center" wrapText="1"/>
    </xf>
    <xf numFmtId="1" fontId="32" fillId="15" borderId="69" xfId="1" applyNumberFormat="1" applyFont="1" applyFill="1" applyBorder="1" applyAlignment="1">
      <alignment horizontal="right" vertical="center" wrapText="1"/>
    </xf>
    <xf numFmtId="164" fontId="33" fillId="12" borderId="62" xfId="1" applyFont="1" applyFill="1" applyBorder="1" applyAlignment="1">
      <alignment horizontal="right" vertical="center" wrapText="1"/>
    </xf>
    <xf numFmtId="164" fontId="34" fillId="13" borderId="15" xfId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165" fontId="33" fillId="0" borderId="22" xfId="0" applyNumberFormat="1" applyFont="1" applyBorder="1" applyAlignment="1">
      <alignment horizontal="center" vertical="center" wrapText="1"/>
    </xf>
    <xf numFmtId="165" fontId="32" fillId="0" borderId="22" xfId="0" applyNumberFormat="1" applyFont="1" applyBorder="1" applyAlignment="1">
      <alignment horizontal="center" vertical="center" wrapText="1"/>
    </xf>
    <xf numFmtId="165" fontId="35" fillId="0" borderId="0" xfId="1" applyNumberFormat="1" applyFont="1" applyAlignment="1">
      <alignment vertical="center" wrapText="1"/>
    </xf>
    <xf numFmtId="167" fontId="36" fillId="5" borderId="0" xfId="1" applyNumberFormat="1" applyFont="1" applyFill="1" applyBorder="1" applyAlignment="1">
      <alignment horizontal="left" vertical="center" wrapText="1"/>
    </xf>
    <xf numFmtId="167" fontId="37" fillId="5" borderId="0" xfId="1" applyNumberFormat="1" applyFont="1" applyFill="1" applyBorder="1" applyAlignment="1">
      <alignment horizontal="left" vertical="center"/>
    </xf>
    <xf numFmtId="167" fontId="38" fillId="5" borderId="0" xfId="1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 wrapText="1"/>
    </xf>
    <xf numFmtId="170" fontId="17" fillId="6" borderId="58" xfId="0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0" xfId="0" applyFont="1" applyFill="1" applyAlignment="1">
      <alignment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16" fillId="6" borderId="54" xfId="0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4" fillId="0" borderId="47" xfId="3" applyFont="1" applyBorder="1" applyAlignment="1">
      <alignment horizontal="right" vertical="center" wrapText="1"/>
    </xf>
    <xf numFmtId="0" fontId="4" fillId="0" borderId="49" xfId="3" applyFont="1" applyBorder="1" applyAlignment="1">
      <alignment horizontal="righ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7" fillId="6" borderId="52" xfId="0" applyFont="1" applyFill="1" applyBorder="1" applyAlignment="1">
      <alignment horizontal="center" vertical="center" wrapText="1"/>
    </xf>
    <xf numFmtId="0" fontId="17" fillId="6" borderId="5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164" fontId="6" fillId="0" borderId="0" xfId="1" applyFont="1"/>
    <xf numFmtId="165" fontId="6" fillId="0" borderId="0" xfId="1" applyNumberFormat="1" applyFont="1"/>
    <xf numFmtId="165" fontId="35" fillId="0" borderId="0" xfId="0" applyNumberFormat="1" applyFont="1" applyAlignment="1">
      <alignment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65" fontId="10" fillId="16" borderId="71" xfId="1" applyNumberFormat="1" applyFont="1" applyFill="1" applyBorder="1" applyAlignment="1">
      <alignment horizontal="right" vertical="center" wrapText="1"/>
    </xf>
    <xf numFmtId="165" fontId="10" fillId="19" borderId="19" xfId="1" applyNumberFormat="1" applyFont="1" applyFill="1" applyBorder="1" applyAlignment="1">
      <alignment horizontal="center" vertical="center" wrapText="1"/>
    </xf>
    <xf numFmtId="165" fontId="10" fillId="19" borderId="19" xfId="1" applyNumberFormat="1" applyFont="1" applyFill="1" applyBorder="1" applyAlignment="1">
      <alignment horizontal="right" vertical="center" wrapText="1"/>
    </xf>
    <xf numFmtId="0" fontId="16" fillId="6" borderId="73" xfId="0" applyFont="1" applyFill="1" applyBorder="1" applyAlignment="1">
      <alignment horizontal="center" vertical="center" wrapText="1"/>
    </xf>
    <xf numFmtId="0" fontId="16" fillId="6" borderId="7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0" fontId="17" fillId="6" borderId="72" xfId="0" applyNumberFormat="1" applyFont="1" applyFill="1" applyBorder="1" applyAlignment="1">
      <alignment horizontal="center" vertical="center" wrapText="1"/>
    </xf>
    <xf numFmtId="0" fontId="16" fillId="6" borderId="75" xfId="0" applyFont="1" applyFill="1" applyBorder="1" applyAlignment="1">
      <alignment horizontal="center" vertical="center" wrapText="1"/>
    </xf>
    <xf numFmtId="0" fontId="16" fillId="6" borderId="76" xfId="0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164" fontId="20" fillId="0" borderId="0" xfId="1" applyFont="1" applyBorder="1"/>
    <xf numFmtId="164" fontId="18" fillId="0" borderId="0" xfId="1" applyFont="1" applyBorder="1"/>
    <xf numFmtId="164" fontId="28" fillId="0" borderId="0" xfId="1" applyFont="1" applyBorder="1"/>
    <xf numFmtId="164" fontId="18" fillId="0" borderId="0" xfId="1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20" fillId="0" borderId="0" xfId="1" applyNumberFormat="1" applyFont="1" applyBorder="1"/>
    <xf numFmtId="165" fontId="18" fillId="0" borderId="0" xfId="1" applyNumberFormat="1" applyFont="1" applyBorder="1"/>
    <xf numFmtId="165" fontId="28" fillId="0" borderId="0" xfId="1" applyNumberFormat="1" applyFont="1" applyBorder="1"/>
    <xf numFmtId="165" fontId="18" fillId="0" borderId="0" xfId="1" applyNumberFormat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70" fontId="0" fillId="0" borderId="0" xfId="0" applyNumberFormat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justify" vertical="center" wrapText="1"/>
    </xf>
    <xf numFmtId="165" fontId="10" fillId="16" borderId="78" xfId="1" applyNumberFormat="1" applyFont="1" applyFill="1" applyBorder="1" applyAlignment="1">
      <alignment horizontal="right" vertical="center" wrapText="1"/>
    </xf>
    <xf numFmtId="165" fontId="10" fillId="16" borderId="79" xfId="1" applyNumberFormat="1" applyFont="1" applyFill="1" applyBorder="1" applyAlignment="1">
      <alignment horizontal="right" vertical="center" wrapText="1"/>
    </xf>
    <xf numFmtId="165" fontId="9" fillId="3" borderId="77" xfId="1" applyNumberFormat="1" applyFont="1" applyFill="1" applyBorder="1" applyAlignment="1">
      <alignment horizontal="right" vertical="center" wrapText="1"/>
    </xf>
    <xf numFmtId="165" fontId="9" fillId="0" borderId="77" xfId="0" applyNumberFormat="1" applyFont="1" applyBorder="1" applyAlignment="1">
      <alignment horizontal="center" vertical="center" wrapText="1"/>
    </xf>
    <xf numFmtId="165" fontId="32" fillId="0" borderId="77" xfId="0" applyNumberFormat="1" applyFont="1" applyBorder="1" applyAlignment="1">
      <alignment horizontal="center" vertical="center" wrapText="1"/>
    </xf>
    <xf numFmtId="165" fontId="10" fillId="19" borderId="78" xfId="1" applyNumberFormat="1" applyFont="1" applyFill="1" applyBorder="1" applyAlignment="1">
      <alignment horizontal="right" vertical="center" wrapText="1"/>
    </xf>
    <xf numFmtId="9" fontId="9" fillId="0" borderId="77" xfId="2" applyFont="1" applyBorder="1" applyAlignment="1">
      <alignment horizontal="center" vertical="center" wrapText="1"/>
    </xf>
    <xf numFmtId="9" fontId="9" fillId="0" borderId="77" xfId="2" applyFont="1" applyBorder="1" applyAlignment="1">
      <alignment horizontal="left" vertical="center" wrapText="1"/>
    </xf>
    <xf numFmtId="165" fontId="10" fillId="16" borderId="22" xfId="1" applyNumberFormat="1" applyFont="1" applyFill="1" applyBorder="1" applyAlignment="1">
      <alignment horizontal="right" vertical="center" wrapText="1"/>
    </xf>
    <xf numFmtId="165" fontId="10" fillId="19" borderId="22" xfId="1" applyNumberFormat="1" applyFont="1" applyFill="1" applyBorder="1" applyAlignment="1">
      <alignment horizontal="right" vertical="center" wrapText="1"/>
    </xf>
  </cellXfs>
  <cellStyles count="11">
    <cellStyle name="date" xfId="8"/>
    <cellStyle name="figure" xfId="9"/>
    <cellStyle name="Milliers" xfId="1" builtinId="3" customBuiltin="1"/>
    <cellStyle name="Milliers 3" xfId="10"/>
    <cellStyle name="Normal" xfId="0" builtinId="0" customBuiltin="1"/>
    <cellStyle name="Normal 2" xfId="3"/>
    <cellStyle name="Normal 2 2" xfId="4"/>
    <cellStyle name="Pourcentage" xfId="2" builtinId="5" customBuiltin="1"/>
    <cellStyle name="report-column-title" xfId="6"/>
    <cellStyle name="report-title" xfId="5"/>
    <cellStyle name="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144780</xdr:colOff>
      <xdr:row>2</xdr:row>
      <xdr:rowOff>114300</xdr:rowOff>
    </xdr:from>
    <xdr:ext cx="3139440" cy="1417320"/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1380" y="754380"/>
          <a:ext cx="313944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99060</xdr:colOff>
      <xdr:row>0</xdr:row>
      <xdr:rowOff>205740</xdr:rowOff>
    </xdr:from>
    <xdr:ext cx="1859280" cy="1158240"/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" y="388620"/>
          <a:ext cx="185928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ropbox/00001%20DOSSIER%202021/PBF%20DONZO%202021/RAPPORT%202021/RAPPORT%20MARS%202021/Rapport%20Financier%20de%20Suivi%20budgetaire%20(MARS%202021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_BANK"/>
      <sheetName val="SUIVI_BUDGETAIRE"/>
      <sheetName val="Categorie Budgetaire"/>
      <sheetName val="RECAP"/>
      <sheetName val="RECAP AEA"/>
      <sheetName val="AEA"/>
      <sheetName val="DASHBOARD"/>
    </sheetNames>
    <sheetDataSet>
      <sheetData sheetId="0"/>
      <sheetData sheetId="1"/>
      <sheetData sheetId="2"/>
      <sheetData sheetId="3">
        <row r="11">
          <cell r="G11">
            <v>12182.210868975724</v>
          </cell>
        </row>
        <row r="46">
          <cell r="G46">
            <v>443.91190048323824</v>
          </cell>
        </row>
        <row r="50">
          <cell r="G50">
            <v>1214.4161277505734</v>
          </cell>
        </row>
        <row r="73">
          <cell r="G73">
            <v>4819.6149195323014</v>
          </cell>
        </row>
        <row r="83">
          <cell r="G83">
            <v>1004.0864415692296</v>
          </cell>
        </row>
        <row r="87">
          <cell r="G87">
            <v>1035.7944344608893</v>
          </cell>
        </row>
        <row r="97">
          <cell r="G97">
            <v>3128.5219653104414</v>
          </cell>
        </row>
        <row r="101">
          <cell r="G101">
            <v>26761.546000560935</v>
          </cell>
        </row>
        <row r="108">
          <cell r="G108">
            <v>1944.3552627785116</v>
          </cell>
        </row>
        <row r="125">
          <cell r="G125">
            <v>1506.1296623538442</v>
          </cell>
        </row>
        <row r="132">
          <cell r="G132">
            <v>137.40130253052615</v>
          </cell>
        </row>
        <row r="134">
          <cell r="G134">
            <v>121.5473060846962</v>
          </cell>
        </row>
      </sheetData>
      <sheetData sheetId="4">
        <row r="11">
          <cell r="G11">
            <v>13984.609553271584</v>
          </cell>
        </row>
        <row r="36">
          <cell r="G36">
            <v>1792.812195418305</v>
          </cell>
        </row>
        <row r="51">
          <cell r="G51">
            <v>1913.0489044634792</v>
          </cell>
        </row>
        <row r="62">
          <cell r="G62">
            <v>12281.562580036261</v>
          </cell>
        </row>
        <row r="74">
          <cell r="G74">
            <v>10558.76163292274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Q27"/>
  <sheetViews>
    <sheetView showGridLines="0" view="pageLayout" topLeftCell="A17" zoomScale="60" zoomScaleNormal="100" zoomScalePageLayoutView="60" workbookViewId="0">
      <selection sqref="A1:O26"/>
    </sheetView>
  </sheetViews>
  <sheetFormatPr baseColWidth="10" defaultColWidth="11.44140625" defaultRowHeight="25.2" customHeight="1" x14ac:dyDescent="0.3"/>
  <cols>
    <col min="1" max="1" width="7.5546875" style="116" customWidth="1"/>
    <col min="2" max="2" width="27.33203125" style="9" customWidth="1"/>
    <col min="3" max="3" width="9.77734375" style="9" bestFit="1" customWidth="1"/>
    <col min="4" max="4" width="11.109375" style="9" customWidth="1"/>
    <col min="5" max="5" width="10.109375" style="9" customWidth="1"/>
    <col min="6" max="7" width="11.33203125" style="9" hidden="1" customWidth="1"/>
    <col min="8" max="8" width="11.44140625" style="224" hidden="1" customWidth="1"/>
    <col min="9" max="9" width="11" style="9" customWidth="1"/>
    <col min="10" max="10" width="12.77734375" style="131" customWidth="1"/>
    <col min="11" max="12" width="11.21875" style="116" customWidth="1"/>
    <col min="13" max="14" width="12.33203125" style="117" customWidth="1"/>
    <col min="15" max="15" width="51.21875" style="9" customWidth="1"/>
    <col min="16" max="16" width="11.44140625" style="9"/>
    <col min="17" max="17" width="11.6640625" style="279" bestFit="1" customWidth="1"/>
    <col min="18" max="18" width="11.6640625" style="274" bestFit="1" customWidth="1"/>
    <col min="19" max="260" width="11.44140625" style="9"/>
    <col min="261" max="261" width="4.44140625" style="9" customWidth="1"/>
    <col min="262" max="262" width="21.21875" style="9" customWidth="1"/>
    <col min="263" max="263" width="10.6640625" style="9" customWidth="1"/>
    <col min="264" max="264" width="11.21875" style="9" customWidth="1"/>
    <col min="265" max="265" width="13" style="9" bestFit="1" customWidth="1"/>
    <col min="266" max="266" width="11.21875" style="9" customWidth="1"/>
    <col min="267" max="267" width="10.33203125" style="9" bestFit="1" customWidth="1"/>
    <col min="268" max="268" width="12.21875" style="9" customWidth="1"/>
    <col min="269" max="269" width="11.77734375" style="9" customWidth="1"/>
    <col min="270" max="270" width="22.77734375" style="9" customWidth="1"/>
    <col min="271" max="516" width="11.44140625" style="9"/>
    <col min="517" max="517" width="4.44140625" style="9" customWidth="1"/>
    <col min="518" max="518" width="21.21875" style="9" customWidth="1"/>
    <col min="519" max="519" width="10.6640625" style="9" customWidth="1"/>
    <col min="520" max="520" width="11.21875" style="9" customWidth="1"/>
    <col min="521" max="521" width="13" style="9" bestFit="1" customWidth="1"/>
    <col min="522" max="522" width="11.21875" style="9" customWidth="1"/>
    <col min="523" max="523" width="10.33203125" style="9" bestFit="1" customWidth="1"/>
    <col min="524" max="524" width="12.21875" style="9" customWidth="1"/>
    <col min="525" max="525" width="11.77734375" style="9" customWidth="1"/>
    <col min="526" max="526" width="22.77734375" style="9" customWidth="1"/>
    <col min="527" max="772" width="11.44140625" style="9"/>
    <col min="773" max="773" width="4.44140625" style="9" customWidth="1"/>
    <col min="774" max="774" width="21.21875" style="9" customWidth="1"/>
    <col min="775" max="775" width="10.6640625" style="9" customWidth="1"/>
    <col min="776" max="776" width="11.21875" style="9" customWidth="1"/>
    <col min="777" max="777" width="13" style="9" bestFit="1" customWidth="1"/>
    <col min="778" max="778" width="11.21875" style="9" customWidth="1"/>
    <col min="779" max="779" width="10.33203125" style="9" bestFit="1" customWidth="1"/>
    <col min="780" max="780" width="12.21875" style="9" customWidth="1"/>
    <col min="781" max="781" width="11.77734375" style="9" customWidth="1"/>
    <col min="782" max="782" width="22.77734375" style="9" customWidth="1"/>
    <col min="783" max="1028" width="11.44140625" style="9"/>
    <col min="1029" max="1029" width="4.44140625" style="9" customWidth="1"/>
    <col min="1030" max="1030" width="21.21875" style="9" customWidth="1"/>
    <col min="1031" max="1031" width="10.6640625" style="9" customWidth="1"/>
    <col min="1032" max="1032" width="11.21875" style="9" customWidth="1"/>
    <col min="1033" max="1033" width="13" style="9" bestFit="1" customWidth="1"/>
    <col min="1034" max="1034" width="11.21875" style="9" customWidth="1"/>
    <col min="1035" max="1035" width="10.33203125" style="9" bestFit="1" customWidth="1"/>
    <col min="1036" max="1036" width="12.21875" style="9" customWidth="1"/>
    <col min="1037" max="1037" width="11.77734375" style="9" customWidth="1"/>
    <col min="1038" max="1038" width="22.77734375" style="9" customWidth="1"/>
    <col min="1039" max="1284" width="11.44140625" style="9"/>
    <col min="1285" max="1285" width="4.44140625" style="9" customWidth="1"/>
    <col min="1286" max="1286" width="21.21875" style="9" customWidth="1"/>
    <col min="1287" max="1287" width="10.6640625" style="9" customWidth="1"/>
    <col min="1288" max="1288" width="11.21875" style="9" customWidth="1"/>
    <col min="1289" max="1289" width="13" style="9" bestFit="1" customWidth="1"/>
    <col min="1290" max="1290" width="11.21875" style="9" customWidth="1"/>
    <col min="1291" max="1291" width="10.33203125" style="9" bestFit="1" customWidth="1"/>
    <col min="1292" max="1292" width="12.21875" style="9" customWidth="1"/>
    <col min="1293" max="1293" width="11.77734375" style="9" customWidth="1"/>
    <col min="1294" max="1294" width="22.77734375" style="9" customWidth="1"/>
    <col min="1295" max="1540" width="11.44140625" style="9"/>
    <col min="1541" max="1541" width="4.44140625" style="9" customWidth="1"/>
    <col min="1542" max="1542" width="21.21875" style="9" customWidth="1"/>
    <col min="1543" max="1543" width="10.6640625" style="9" customWidth="1"/>
    <col min="1544" max="1544" width="11.21875" style="9" customWidth="1"/>
    <col min="1545" max="1545" width="13" style="9" bestFit="1" customWidth="1"/>
    <col min="1546" max="1546" width="11.21875" style="9" customWidth="1"/>
    <col min="1547" max="1547" width="10.33203125" style="9" bestFit="1" customWidth="1"/>
    <col min="1548" max="1548" width="12.21875" style="9" customWidth="1"/>
    <col min="1549" max="1549" width="11.77734375" style="9" customWidth="1"/>
    <col min="1550" max="1550" width="22.77734375" style="9" customWidth="1"/>
    <col min="1551" max="1796" width="11.44140625" style="9"/>
    <col min="1797" max="1797" width="4.44140625" style="9" customWidth="1"/>
    <col min="1798" max="1798" width="21.21875" style="9" customWidth="1"/>
    <col min="1799" max="1799" width="10.6640625" style="9" customWidth="1"/>
    <col min="1800" max="1800" width="11.21875" style="9" customWidth="1"/>
    <col min="1801" max="1801" width="13" style="9" bestFit="1" customWidth="1"/>
    <col min="1802" max="1802" width="11.21875" style="9" customWidth="1"/>
    <col min="1803" max="1803" width="10.33203125" style="9" bestFit="1" customWidth="1"/>
    <col min="1804" max="1804" width="12.21875" style="9" customWidth="1"/>
    <col min="1805" max="1805" width="11.77734375" style="9" customWidth="1"/>
    <col min="1806" max="1806" width="22.77734375" style="9" customWidth="1"/>
    <col min="1807" max="2052" width="11.44140625" style="9"/>
    <col min="2053" max="2053" width="4.44140625" style="9" customWidth="1"/>
    <col min="2054" max="2054" width="21.21875" style="9" customWidth="1"/>
    <col min="2055" max="2055" width="10.6640625" style="9" customWidth="1"/>
    <col min="2056" max="2056" width="11.21875" style="9" customWidth="1"/>
    <col min="2057" max="2057" width="13" style="9" bestFit="1" customWidth="1"/>
    <col min="2058" max="2058" width="11.21875" style="9" customWidth="1"/>
    <col min="2059" max="2059" width="10.33203125" style="9" bestFit="1" customWidth="1"/>
    <col min="2060" max="2060" width="12.21875" style="9" customWidth="1"/>
    <col min="2061" max="2061" width="11.77734375" style="9" customWidth="1"/>
    <col min="2062" max="2062" width="22.77734375" style="9" customWidth="1"/>
    <col min="2063" max="2308" width="11.44140625" style="9"/>
    <col min="2309" max="2309" width="4.44140625" style="9" customWidth="1"/>
    <col min="2310" max="2310" width="21.21875" style="9" customWidth="1"/>
    <col min="2311" max="2311" width="10.6640625" style="9" customWidth="1"/>
    <col min="2312" max="2312" width="11.21875" style="9" customWidth="1"/>
    <col min="2313" max="2313" width="13" style="9" bestFit="1" customWidth="1"/>
    <col min="2314" max="2314" width="11.21875" style="9" customWidth="1"/>
    <col min="2315" max="2315" width="10.33203125" style="9" bestFit="1" customWidth="1"/>
    <col min="2316" max="2316" width="12.21875" style="9" customWidth="1"/>
    <col min="2317" max="2317" width="11.77734375" style="9" customWidth="1"/>
    <col min="2318" max="2318" width="22.77734375" style="9" customWidth="1"/>
    <col min="2319" max="2564" width="11.44140625" style="9"/>
    <col min="2565" max="2565" width="4.44140625" style="9" customWidth="1"/>
    <col min="2566" max="2566" width="21.21875" style="9" customWidth="1"/>
    <col min="2567" max="2567" width="10.6640625" style="9" customWidth="1"/>
    <col min="2568" max="2568" width="11.21875" style="9" customWidth="1"/>
    <col min="2569" max="2569" width="13" style="9" bestFit="1" customWidth="1"/>
    <col min="2570" max="2570" width="11.21875" style="9" customWidth="1"/>
    <col min="2571" max="2571" width="10.33203125" style="9" bestFit="1" customWidth="1"/>
    <col min="2572" max="2572" width="12.21875" style="9" customWidth="1"/>
    <col min="2573" max="2573" width="11.77734375" style="9" customWidth="1"/>
    <col min="2574" max="2574" width="22.77734375" style="9" customWidth="1"/>
    <col min="2575" max="2820" width="11.44140625" style="9"/>
    <col min="2821" max="2821" width="4.44140625" style="9" customWidth="1"/>
    <col min="2822" max="2822" width="21.21875" style="9" customWidth="1"/>
    <col min="2823" max="2823" width="10.6640625" style="9" customWidth="1"/>
    <col min="2824" max="2824" width="11.21875" style="9" customWidth="1"/>
    <col min="2825" max="2825" width="13" style="9" bestFit="1" customWidth="1"/>
    <col min="2826" max="2826" width="11.21875" style="9" customWidth="1"/>
    <col min="2827" max="2827" width="10.33203125" style="9" bestFit="1" customWidth="1"/>
    <col min="2828" max="2828" width="12.21875" style="9" customWidth="1"/>
    <col min="2829" max="2829" width="11.77734375" style="9" customWidth="1"/>
    <col min="2830" max="2830" width="22.77734375" style="9" customWidth="1"/>
    <col min="2831" max="3076" width="11.44140625" style="9"/>
    <col min="3077" max="3077" width="4.44140625" style="9" customWidth="1"/>
    <col min="3078" max="3078" width="21.21875" style="9" customWidth="1"/>
    <col min="3079" max="3079" width="10.6640625" style="9" customWidth="1"/>
    <col min="3080" max="3080" width="11.21875" style="9" customWidth="1"/>
    <col min="3081" max="3081" width="13" style="9" bestFit="1" customWidth="1"/>
    <col min="3082" max="3082" width="11.21875" style="9" customWidth="1"/>
    <col min="3083" max="3083" width="10.33203125" style="9" bestFit="1" customWidth="1"/>
    <col min="3084" max="3084" width="12.21875" style="9" customWidth="1"/>
    <col min="3085" max="3085" width="11.77734375" style="9" customWidth="1"/>
    <col min="3086" max="3086" width="22.77734375" style="9" customWidth="1"/>
    <col min="3087" max="3332" width="11.44140625" style="9"/>
    <col min="3333" max="3333" width="4.44140625" style="9" customWidth="1"/>
    <col min="3334" max="3334" width="21.21875" style="9" customWidth="1"/>
    <col min="3335" max="3335" width="10.6640625" style="9" customWidth="1"/>
    <col min="3336" max="3336" width="11.21875" style="9" customWidth="1"/>
    <col min="3337" max="3337" width="13" style="9" bestFit="1" customWidth="1"/>
    <col min="3338" max="3338" width="11.21875" style="9" customWidth="1"/>
    <col min="3339" max="3339" width="10.33203125" style="9" bestFit="1" customWidth="1"/>
    <col min="3340" max="3340" width="12.21875" style="9" customWidth="1"/>
    <col min="3341" max="3341" width="11.77734375" style="9" customWidth="1"/>
    <col min="3342" max="3342" width="22.77734375" style="9" customWidth="1"/>
    <col min="3343" max="3588" width="11.44140625" style="9"/>
    <col min="3589" max="3589" width="4.44140625" style="9" customWidth="1"/>
    <col min="3590" max="3590" width="21.21875" style="9" customWidth="1"/>
    <col min="3591" max="3591" width="10.6640625" style="9" customWidth="1"/>
    <col min="3592" max="3592" width="11.21875" style="9" customWidth="1"/>
    <col min="3593" max="3593" width="13" style="9" bestFit="1" customWidth="1"/>
    <col min="3594" max="3594" width="11.21875" style="9" customWidth="1"/>
    <col min="3595" max="3595" width="10.33203125" style="9" bestFit="1" customWidth="1"/>
    <col min="3596" max="3596" width="12.21875" style="9" customWidth="1"/>
    <col min="3597" max="3597" width="11.77734375" style="9" customWidth="1"/>
    <col min="3598" max="3598" width="22.77734375" style="9" customWidth="1"/>
    <col min="3599" max="3844" width="11.44140625" style="9"/>
    <col min="3845" max="3845" width="4.44140625" style="9" customWidth="1"/>
    <col min="3846" max="3846" width="21.21875" style="9" customWidth="1"/>
    <col min="3847" max="3847" width="10.6640625" style="9" customWidth="1"/>
    <col min="3848" max="3848" width="11.21875" style="9" customWidth="1"/>
    <col min="3849" max="3849" width="13" style="9" bestFit="1" customWidth="1"/>
    <col min="3850" max="3850" width="11.21875" style="9" customWidth="1"/>
    <col min="3851" max="3851" width="10.33203125" style="9" bestFit="1" customWidth="1"/>
    <col min="3852" max="3852" width="12.21875" style="9" customWidth="1"/>
    <col min="3853" max="3853" width="11.77734375" style="9" customWidth="1"/>
    <col min="3854" max="3854" width="22.77734375" style="9" customWidth="1"/>
    <col min="3855" max="4100" width="11.44140625" style="9"/>
    <col min="4101" max="4101" width="4.44140625" style="9" customWidth="1"/>
    <col min="4102" max="4102" width="21.21875" style="9" customWidth="1"/>
    <col min="4103" max="4103" width="10.6640625" style="9" customWidth="1"/>
    <col min="4104" max="4104" width="11.21875" style="9" customWidth="1"/>
    <col min="4105" max="4105" width="13" style="9" bestFit="1" customWidth="1"/>
    <col min="4106" max="4106" width="11.21875" style="9" customWidth="1"/>
    <col min="4107" max="4107" width="10.33203125" style="9" bestFit="1" customWidth="1"/>
    <col min="4108" max="4108" width="12.21875" style="9" customWidth="1"/>
    <col min="4109" max="4109" width="11.77734375" style="9" customWidth="1"/>
    <col min="4110" max="4110" width="22.77734375" style="9" customWidth="1"/>
    <col min="4111" max="4356" width="11.44140625" style="9"/>
    <col min="4357" max="4357" width="4.44140625" style="9" customWidth="1"/>
    <col min="4358" max="4358" width="21.21875" style="9" customWidth="1"/>
    <col min="4359" max="4359" width="10.6640625" style="9" customWidth="1"/>
    <col min="4360" max="4360" width="11.21875" style="9" customWidth="1"/>
    <col min="4361" max="4361" width="13" style="9" bestFit="1" customWidth="1"/>
    <col min="4362" max="4362" width="11.21875" style="9" customWidth="1"/>
    <col min="4363" max="4363" width="10.33203125" style="9" bestFit="1" customWidth="1"/>
    <col min="4364" max="4364" width="12.21875" style="9" customWidth="1"/>
    <col min="4365" max="4365" width="11.77734375" style="9" customWidth="1"/>
    <col min="4366" max="4366" width="22.77734375" style="9" customWidth="1"/>
    <col min="4367" max="4612" width="11.44140625" style="9"/>
    <col min="4613" max="4613" width="4.44140625" style="9" customWidth="1"/>
    <col min="4614" max="4614" width="21.21875" style="9" customWidth="1"/>
    <col min="4615" max="4615" width="10.6640625" style="9" customWidth="1"/>
    <col min="4616" max="4616" width="11.21875" style="9" customWidth="1"/>
    <col min="4617" max="4617" width="13" style="9" bestFit="1" customWidth="1"/>
    <col min="4618" max="4618" width="11.21875" style="9" customWidth="1"/>
    <col min="4619" max="4619" width="10.33203125" style="9" bestFit="1" customWidth="1"/>
    <col min="4620" max="4620" width="12.21875" style="9" customWidth="1"/>
    <col min="4621" max="4621" width="11.77734375" style="9" customWidth="1"/>
    <col min="4622" max="4622" width="22.77734375" style="9" customWidth="1"/>
    <col min="4623" max="4868" width="11.44140625" style="9"/>
    <col min="4869" max="4869" width="4.44140625" style="9" customWidth="1"/>
    <col min="4870" max="4870" width="21.21875" style="9" customWidth="1"/>
    <col min="4871" max="4871" width="10.6640625" style="9" customWidth="1"/>
    <col min="4872" max="4872" width="11.21875" style="9" customWidth="1"/>
    <col min="4873" max="4873" width="13" style="9" bestFit="1" customWidth="1"/>
    <col min="4874" max="4874" width="11.21875" style="9" customWidth="1"/>
    <col min="4875" max="4875" width="10.33203125" style="9" bestFit="1" customWidth="1"/>
    <col min="4876" max="4876" width="12.21875" style="9" customWidth="1"/>
    <col min="4877" max="4877" width="11.77734375" style="9" customWidth="1"/>
    <col min="4878" max="4878" width="22.77734375" style="9" customWidth="1"/>
    <col min="4879" max="5124" width="11.44140625" style="9"/>
    <col min="5125" max="5125" width="4.44140625" style="9" customWidth="1"/>
    <col min="5126" max="5126" width="21.21875" style="9" customWidth="1"/>
    <col min="5127" max="5127" width="10.6640625" style="9" customWidth="1"/>
    <col min="5128" max="5128" width="11.21875" style="9" customWidth="1"/>
    <col min="5129" max="5129" width="13" style="9" bestFit="1" customWidth="1"/>
    <col min="5130" max="5130" width="11.21875" style="9" customWidth="1"/>
    <col min="5131" max="5131" width="10.33203125" style="9" bestFit="1" customWidth="1"/>
    <col min="5132" max="5132" width="12.21875" style="9" customWidth="1"/>
    <col min="5133" max="5133" width="11.77734375" style="9" customWidth="1"/>
    <col min="5134" max="5134" width="22.77734375" style="9" customWidth="1"/>
    <col min="5135" max="5380" width="11.44140625" style="9"/>
    <col min="5381" max="5381" width="4.44140625" style="9" customWidth="1"/>
    <col min="5382" max="5382" width="21.21875" style="9" customWidth="1"/>
    <col min="5383" max="5383" width="10.6640625" style="9" customWidth="1"/>
    <col min="5384" max="5384" width="11.21875" style="9" customWidth="1"/>
    <col min="5385" max="5385" width="13" style="9" bestFit="1" customWidth="1"/>
    <col min="5386" max="5386" width="11.21875" style="9" customWidth="1"/>
    <col min="5387" max="5387" width="10.33203125" style="9" bestFit="1" customWidth="1"/>
    <col min="5388" max="5388" width="12.21875" style="9" customWidth="1"/>
    <col min="5389" max="5389" width="11.77734375" style="9" customWidth="1"/>
    <col min="5390" max="5390" width="22.77734375" style="9" customWidth="1"/>
    <col min="5391" max="5636" width="11.44140625" style="9"/>
    <col min="5637" max="5637" width="4.44140625" style="9" customWidth="1"/>
    <col min="5638" max="5638" width="21.21875" style="9" customWidth="1"/>
    <col min="5639" max="5639" width="10.6640625" style="9" customWidth="1"/>
    <col min="5640" max="5640" width="11.21875" style="9" customWidth="1"/>
    <col min="5641" max="5641" width="13" style="9" bestFit="1" customWidth="1"/>
    <col min="5642" max="5642" width="11.21875" style="9" customWidth="1"/>
    <col min="5643" max="5643" width="10.33203125" style="9" bestFit="1" customWidth="1"/>
    <col min="5644" max="5644" width="12.21875" style="9" customWidth="1"/>
    <col min="5645" max="5645" width="11.77734375" style="9" customWidth="1"/>
    <col min="5646" max="5646" width="22.77734375" style="9" customWidth="1"/>
    <col min="5647" max="5892" width="11.44140625" style="9"/>
    <col min="5893" max="5893" width="4.44140625" style="9" customWidth="1"/>
    <col min="5894" max="5894" width="21.21875" style="9" customWidth="1"/>
    <col min="5895" max="5895" width="10.6640625" style="9" customWidth="1"/>
    <col min="5896" max="5896" width="11.21875" style="9" customWidth="1"/>
    <col min="5897" max="5897" width="13" style="9" bestFit="1" customWidth="1"/>
    <col min="5898" max="5898" width="11.21875" style="9" customWidth="1"/>
    <col min="5899" max="5899" width="10.33203125" style="9" bestFit="1" customWidth="1"/>
    <col min="5900" max="5900" width="12.21875" style="9" customWidth="1"/>
    <col min="5901" max="5901" width="11.77734375" style="9" customWidth="1"/>
    <col min="5902" max="5902" width="22.77734375" style="9" customWidth="1"/>
    <col min="5903" max="6148" width="11.44140625" style="9"/>
    <col min="6149" max="6149" width="4.44140625" style="9" customWidth="1"/>
    <col min="6150" max="6150" width="21.21875" style="9" customWidth="1"/>
    <col min="6151" max="6151" width="10.6640625" style="9" customWidth="1"/>
    <col min="6152" max="6152" width="11.21875" style="9" customWidth="1"/>
    <col min="6153" max="6153" width="13" style="9" bestFit="1" customWidth="1"/>
    <col min="6154" max="6154" width="11.21875" style="9" customWidth="1"/>
    <col min="6155" max="6155" width="10.33203125" style="9" bestFit="1" customWidth="1"/>
    <col min="6156" max="6156" width="12.21875" style="9" customWidth="1"/>
    <col min="6157" max="6157" width="11.77734375" style="9" customWidth="1"/>
    <col min="6158" max="6158" width="22.77734375" style="9" customWidth="1"/>
    <col min="6159" max="6404" width="11.44140625" style="9"/>
    <col min="6405" max="6405" width="4.44140625" style="9" customWidth="1"/>
    <col min="6406" max="6406" width="21.21875" style="9" customWidth="1"/>
    <col min="6407" max="6407" width="10.6640625" style="9" customWidth="1"/>
    <col min="6408" max="6408" width="11.21875" style="9" customWidth="1"/>
    <col min="6409" max="6409" width="13" style="9" bestFit="1" customWidth="1"/>
    <col min="6410" max="6410" width="11.21875" style="9" customWidth="1"/>
    <col min="6411" max="6411" width="10.33203125" style="9" bestFit="1" customWidth="1"/>
    <col min="6412" max="6412" width="12.21875" style="9" customWidth="1"/>
    <col min="6413" max="6413" width="11.77734375" style="9" customWidth="1"/>
    <col min="6414" max="6414" width="22.77734375" style="9" customWidth="1"/>
    <col min="6415" max="6660" width="11.44140625" style="9"/>
    <col min="6661" max="6661" width="4.44140625" style="9" customWidth="1"/>
    <col min="6662" max="6662" width="21.21875" style="9" customWidth="1"/>
    <col min="6663" max="6663" width="10.6640625" style="9" customWidth="1"/>
    <col min="6664" max="6664" width="11.21875" style="9" customWidth="1"/>
    <col min="6665" max="6665" width="13" style="9" bestFit="1" customWidth="1"/>
    <col min="6666" max="6666" width="11.21875" style="9" customWidth="1"/>
    <col min="6667" max="6667" width="10.33203125" style="9" bestFit="1" customWidth="1"/>
    <col min="6668" max="6668" width="12.21875" style="9" customWidth="1"/>
    <col min="6669" max="6669" width="11.77734375" style="9" customWidth="1"/>
    <col min="6670" max="6670" width="22.77734375" style="9" customWidth="1"/>
    <col min="6671" max="6916" width="11.44140625" style="9"/>
    <col min="6917" max="6917" width="4.44140625" style="9" customWidth="1"/>
    <col min="6918" max="6918" width="21.21875" style="9" customWidth="1"/>
    <col min="6919" max="6919" width="10.6640625" style="9" customWidth="1"/>
    <col min="6920" max="6920" width="11.21875" style="9" customWidth="1"/>
    <col min="6921" max="6921" width="13" style="9" bestFit="1" customWidth="1"/>
    <col min="6922" max="6922" width="11.21875" style="9" customWidth="1"/>
    <col min="6923" max="6923" width="10.33203125" style="9" bestFit="1" customWidth="1"/>
    <col min="6924" max="6924" width="12.21875" style="9" customWidth="1"/>
    <col min="6925" max="6925" width="11.77734375" style="9" customWidth="1"/>
    <col min="6926" max="6926" width="22.77734375" style="9" customWidth="1"/>
    <col min="6927" max="7172" width="11.44140625" style="9"/>
    <col min="7173" max="7173" width="4.44140625" style="9" customWidth="1"/>
    <col min="7174" max="7174" width="21.21875" style="9" customWidth="1"/>
    <col min="7175" max="7175" width="10.6640625" style="9" customWidth="1"/>
    <col min="7176" max="7176" width="11.21875" style="9" customWidth="1"/>
    <col min="7177" max="7177" width="13" style="9" bestFit="1" customWidth="1"/>
    <col min="7178" max="7178" width="11.21875" style="9" customWidth="1"/>
    <col min="7179" max="7179" width="10.33203125" style="9" bestFit="1" customWidth="1"/>
    <col min="7180" max="7180" width="12.21875" style="9" customWidth="1"/>
    <col min="7181" max="7181" width="11.77734375" style="9" customWidth="1"/>
    <col min="7182" max="7182" width="22.77734375" style="9" customWidth="1"/>
    <col min="7183" max="7428" width="11.44140625" style="9"/>
    <col min="7429" max="7429" width="4.44140625" style="9" customWidth="1"/>
    <col min="7430" max="7430" width="21.21875" style="9" customWidth="1"/>
    <col min="7431" max="7431" width="10.6640625" style="9" customWidth="1"/>
    <col min="7432" max="7432" width="11.21875" style="9" customWidth="1"/>
    <col min="7433" max="7433" width="13" style="9" bestFit="1" customWidth="1"/>
    <col min="7434" max="7434" width="11.21875" style="9" customWidth="1"/>
    <col min="7435" max="7435" width="10.33203125" style="9" bestFit="1" customWidth="1"/>
    <col min="7436" max="7436" width="12.21875" style="9" customWidth="1"/>
    <col min="7437" max="7437" width="11.77734375" style="9" customWidth="1"/>
    <col min="7438" max="7438" width="22.77734375" style="9" customWidth="1"/>
    <col min="7439" max="7684" width="11.44140625" style="9"/>
    <col min="7685" max="7685" width="4.44140625" style="9" customWidth="1"/>
    <col min="7686" max="7686" width="21.21875" style="9" customWidth="1"/>
    <col min="7687" max="7687" width="10.6640625" style="9" customWidth="1"/>
    <col min="7688" max="7688" width="11.21875" style="9" customWidth="1"/>
    <col min="7689" max="7689" width="13" style="9" bestFit="1" customWidth="1"/>
    <col min="7690" max="7690" width="11.21875" style="9" customWidth="1"/>
    <col min="7691" max="7691" width="10.33203125" style="9" bestFit="1" customWidth="1"/>
    <col min="7692" max="7692" width="12.21875" style="9" customWidth="1"/>
    <col min="7693" max="7693" width="11.77734375" style="9" customWidth="1"/>
    <col min="7694" max="7694" width="22.77734375" style="9" customWidth="1"/>
    <col min="7695" max="7940" width="11.44140625" style="9"/>
    <col min="7941" max="7941" width="4.44140625" style="9" customWidth="1"/>
    <col min="7942" max="7942" width="21.21875" style="9" customWidth="1"/>
    <col min="7943" max="7943" width="10.6640625" style="9" customWidth="1"/>
    <col min="7944" max="7944" width="11.21875" style="9" customWidth="1"/>
    <col min="7945" max="7945" width="13" style="9" bestFit="1" customWidth="1"/>
    <col min="7946" max="7946" width="11.21875" style="9" customWidth="1"/>
    <col min="7947" max="7947" width="10.33203125" style="9" bestFit="1" customWidth="1"/>
    <col min="7948" max="7948" width="12.21875" style="9" customWidth="1"/>
    <col min="7949" max="7949" width="11.77734375" style="9" customWidth="1"/>
    <col min="7950" max="7950" width="22.77734375" style="9" customWidth="1"/>
    <col min="7951" max="8196" width="11.44140625" style="9"/>
    <col min="8197" max="8197" width="4.44140625" style="9" customWidth="1"/>
    <col min="8198" max="8198" width="21.21875" style="9" customWidth="1"/>
    <col min="8199" max="8199" width="10.6640625" style="9" customWidth="1"/>
    <col min="8200" max="8200" width="11.21875" style="9" customWidth="1"/>
    <col min="8201" max="8201" width="13" style="9" bestFit="1" customWidth="1"/>
    <col min="8202" max="8202" width="11.21875" style="9" customWidth="1"/>
    <col min="8203" max="8203" width="10.33203125" style="9" bestFit="1" customWidth="1"/>
    <col min="8204" max="8204" width="12.21875" style="9" customWidth="1"/>
    <col min="8205" max="8205" width="11.77734375" style="9" customWidth="1"/>
    <col min="8206" max="8206" width="22.77734375" style="9" customWidth="1"/>
    <col min="8207" max="8452" width="11.44140625" style="9"/>
    <col min="8453" max="8453" width="4.44140625" style="9" customWidth="1"/>
    <col min="8454" max="8454" width="21.21875" style="9" customWidth="1"/>
    <col min="8455" max="8455" width="10.6640625" style="9" customWidth="1"/>
    <col min="8456" max="8456" width="11.21875" style="9" customWidth="1"/>
    <col min="8457" max="8457" width="13" style="9" bestFit="1" customWidth="1"/>
    <col min="8458" max="8458" width="11.21875" style="9" customWidth="1"/>
    <col min="8459" max="8459" width="10.33203125" style="9" bestFit="1" customWidth="1"/>
    <col min="8460" max="8460" width="12.21875" style="9" customWidth="1"/>
    <col min="8461" max="8461" width="11.77734375" style="9" customWidth="1"/>
    <col min="8462" max="8462" width="22.77734375" style="9" customWidth="1"/>
    <col min="8463" max="8708" width="11.44140625" style="9"/>
    <col min="8709" max="8709" width="4.44140625" style="9" customWidth="1"/>
    <col min="8710" max="8710" width="21.21875" style="9" customWidth="1"/>
    <col min="8711" max="8711" width="10.6640625" style="9" customWidth="1"/>
    <col min="8712" max="8712" width="11.21875" style="9" customWidth="1"/>
    <col min="8713" max="8713" width="13" style="9" bestFit="1" customWidth="1"/>
    <col min="8714" max="8714" width="11.21875" style="9" customWidth="1"/>
    <col min="8715" max="8715" width="10.33203125" style="9" bestFit="1" customWidth="1"/>
    <col min="8716" max="8716" width="12.21875" style="9" customWidth="1"/>
    <col min="8717" max="8717" width="11.77734375" style="9" customWidth="1"/>
    <col min="8718" max="8718" width="22.77734375" style="9" customWidth="1"/>
    <col min="8719" max="8964" width="11.44140625" style="9"/>
    <col min="8965" max="8965" width="4.44140625" style="9" customWidth="1"/>
    <col min="8966" max="8966" width="21.21875" style="9" customWidth="1"/>
    <col min="8967" max="8967" width="10.6640625" style="9" customWidth="1"/>
    <col min="8968" max="8968" width="11.21875" style="9" customWidth="1"/>
    <col min="8969" max="8969" width="13" style="9" bestFit="1" customWidth="1"/>
    <col min="8970" max="8970" width="11.21875" style="9" customWidth="1"/>
    <col min="8971" max="8971" width="10.33203125" style="9" bestFit="1" customWidth="1"/>
    <col min="8972" max="8972" width="12.21875" style="9" customWidth="1"/>
    <col min="8973" max="8973" width="11.77734375" style="9" customWidth="1"/>
    <col min="8974" max="8974" width="22.77734375" style="9" customWidth="1"/>
    <col min="8975" max="9220" width="11.44140625" style="9"/>
    <col min="9221" max="9221" width="4.44140625" style="9" customWidth="1"/>
    <col min="9222" max="9222" width="21.21875" style="9" customWidth="1"/>
    <col min="9223" max="9223" width="10.6640625" style="9" customWidth="1"/>
    <col min="9224" max="9224" width="11.21875" style="9" customWidth="1"/>
    <col min="9225" max="9225" width="13" style="9" bestFit="1" customWidth="1"/>
    <col min="9226" max="9226" width="11.21875" style="9" customWidth="1"/>
    <col min="9227" max="9227" width="10.33203125" style="9" bestFit="1" customWidth="1"/>
    <col min="9228" max="9228" width="12.21875" style="9" customWidth="1"/>
    <col min="9229" max="9229" width="11.77734375" style="9" customWidth="1"/>
    <col min="9230" max="9230" width="22.77734375" style="9" customWidth="1"/>
    <col min="9231" max="9476" width="11.44140625" style="9"/>
    <col min="9477" max="9477" width="4.44140625" style="9" customWidth="1"/>
    <col min="9478" max="9478" width="21.21875" style="9" customWidth="1"/>
    <col min="9479" max="9479" width="10.6640625" style="9" customWidth="1"/>
    <col min="9480" max="9480" width="11.21875" style="9" customWidth="1"/>
    <col min="9481" max="9481" width="13" style="9" bestFit="1" customWidth="1"/>
    <col min="9482" max="9482" width="11.21875" style="9" customWidth="1"/>
    <col min="9483" max="9483" width="10.33203125" style="9" bestFit="1" customWidth="1"/>
    <col min="9484" max="9484" width="12.21875" style="9" customWidth="1"/>
    <col min="9485" max="9485" width="11.77734375" style="9" customWidth="1"/>
    <col min="9486" max="9486" width="22.77734375" style="9" customWidth="1"/>
    <col min="9487" max="9732" width="11.44140625" style="9"/>
    <col min="9733" max="9733" width="4.44140625" style="9" customWidth="1"/>
    <col min="9734" max="9734" width="21.21875" style="9" customWidth="1"/>
    <col min="9735" max="9735" width="10.6640625" style="9" customWidth="1"/>
    <col min="9736" max="9736" width="11.21875" style="9" customWidth="1"/>
    <col min="9737" max="9737" width="13" style="9" bestFit="1" customWidth="1"/>
    <col min="9738" max="9738" width="11.21875" style="9" customWidth="1"/>
    <col min="9739" max="9739" width="10.33203125" style="9" bestFit="1" customWidth="1"/>
    <col min="9740" max="9740" width="12.21875" style="9" customWidth="1"/>
    <col min="9741" max="9741" width="11.77734375" style="9" customWidth="1"/>
    <col min="9742" max="9742" width="22.77734375" style="9" customWidth="1"/>
    <col min="9743" max="9988" width="11.44140625" style="9"/>
    <col min="9989" max="9989" width="4.44140625" style="9" customWidth="1"/>
    <col min="9990" max="9990" width="21.21875" style="9" customWidth="1"/>
    <col min="9991" max="9991" width="10.6640625" style="9" customWidth="1"/>
    <col min="9992" max="9992" width="11.21875" style="9" customWidth="1"/>
    <col min="9993" max="9993" width="13" style="9" bestFit="1" customWidth="1"/>
    <col min="9994" max="9994" width="11.21875" style="9" customWidth="1"/>
    <col min="9995" max="9995" width="10.33203125" style="9" bestFit="1" customWidth="1"/>
    <col min="9996" max="9996" width="12.21875" style="9" customWidth="1"/>
    <col min="9997" max="9997" width="11.77734375" style="9" customWidth="1"/>
    <col min="9998" max="9998" width="22.77734375" style="9" customWidth="1"/>
    <col min="9999" max="10244" width="11.44140625" style="9"/>
    <col min="10245" max="10245" width="4.44140625" style="9" customWidth="1"/>
    <col min="10246" max="10246" width="21.21875" style="9" customWidth="1"/>
    <col min="10247" max="10247" width="10.6640625" style="9" customWidth="1"/>
    <col min="10248" max="10248" width="11.21875" style="9" customWidth="1"/>
    <col min="10249" max="10249" width="13" style="9" bestFit="1" customWidth="1"/>
    <col min="10250" max="10250" width="11.21875" style="9" customWidth="1"/>
    <col min="10251" max="10251" width="10.33203125" style="9" bestFit="1" customWidth="1"/>
    <col min="10252" max="10252" width="12.21875" style="9" customWidth="1"/>
    <col min="10253" max="10253" width="11.77734375" style="9" customWidth="1"/>
    <col min="10254" max="10254" width="22.77734375" style="9" customWidth="1"/>
    <col min="10255" max="10500" width="11.44140625" style="9"/>
    <col min="10501" max="10501" width="4.44140625" style="9" customWidth="1"/>
    <col min="10502" max="10502" width="21.21875" style="9" customWidth="1"/>
    <col min="10503" max="10503" width="10.6640625" style="9" customWidth="1"/>
    <col min="10504" max="10504" width="11.21875" style="9" customWidth="1"/>
    <col min="10505" max="10505" width="13" style="9" bestFit="1" customWidth="1"/>
    <col min="10506" max="10506" width="11.21875" style="9" customWidth="1"/>
    <col min="10507" max="10507" width="10.33203125" style="9" bestFit="1" customWidth="1"/>
    <col min="10508" max="10508" width="12.21875" style="9" customWidth="1"/>
    <col min="10509" max="10509" width="11.77734375" style="9" customWidth="1"/>
    <col min="10510" max="10510" width="22.77734375" style="9" customWidth="1"/>
    <col min="10511" max="10756" width="11.44140625" style="9"/>
    <col min="10757" max="10757" width="4.44140625" style="9" customWidth="1"/>
    <col min="10758" max="10758" width="21.21875" style="9" customWidth="1"/>
    <col min="10759" max="10759" width="10.6640625" style="9" customWidth="1"/>
    <col min="10760" max="10760" width="11.21875" style="9" customWidth="1"/>
    <col min="10761" max="10761" width="13" style="9" bestFit="1" customWidth="1"/>
    <col min="10762" max="10762" width="11.21875" style="9" customWidth="1"/>
    <col min="10763" max="10763" width="10.33203125" style="9" bestFit="1" customWidth="1"/>
    <col min="10764" max="10764" width="12.21875" style="9" customWidth="1"/>
    <col min="10765" max="10765" width="11.77734375" style="9" customWidth="1"/>
    <col min="10766" max="10766" width="22.77734375" style="9" customWidth="1"/>
    <col min="10767" max="11012" width="11.44140625" style="9"/>
    <col min="11013" max="11013" width="4.44140625" style="9" customWidth="1"/>
    <col min="11014" max="11014" width="21.21875" style="9" customWidth="1"/>
    <col min="11015" max="11015" width="10.6640625" style="9" customWidth="1"/>
    <col min="11016" max="11016" width="11.21875" style="9" customWidth="1"/>
    <col min="11017" max="11017" width="13" style="9" bestFit="1" customWidth="1"/>
    <col min="11018" max="11018" width="11.21875" style="9" customWidth="1"/>
    <col min="11019" max="11019" width="10.33203125" style="9" bestFit="1" customWidth="1"/>
    <col min="11020" max="11020" width="12.21875" style="9" customWidth="1"/>
    <col min="11021" max="11021" width="11.77734375" style="9" customWidth="1"/>
    <col min="11022" max="11022" width="22.77734375" style="9" customWidth="1"/>
    <col min="11023" max="11268" width="11.44140625" style="9"/>
    <col min="11269" max="11269" width="4.44140625" style="9" customWidth="1"/>
    <col min="11270" max="11270" width="21.21875" style="9" customWidth="1"/>
    <col min="11271" max="11271" width="10.6640625" style="9" customWidth="1"/>
    <col min="11272" max="11272" width="11.21875" style="9" customWidth="1"/>
    <col min="11273" max="11273" width="13" style="9" bestFit="1" customWidth="1"/>
    <col min="11274" max="11274" width="11.21875" style="9" customWidth="1"/>
    <col min="11275" max="11275" width="10.33203125" style="9" bestFit="1" customWidth="1"/>
    <col min="11276" max="11276" width="12.21875" style="9" customWidth="1"/>
    <col min="11277" max="11277" width="11.77734375" style="9" customWidth="1"/>
    <col min="11278" max="11278" width="22.77734375" style="9" customWidth="1"/>
    <col min="11279" max="11524" width="11.44140625" style="9"/>
    <col min="11525" max="11525" width="4.44140625" style="9" customWidth="1"/>
    <col min="11526" max="11526" width="21.21875" style="9" customWidth="1"/>
    <col min="11527" max="11527" width="10.6640625" style="9" customWidth="1"/>
    <col min="11528" max="11528" width="11.21875" style="9" customWidth="1"/>
    <col min="11529" max="11529" width="13" style="9" bestFit="1" customWidth="1"/>
    <col min="11530" max="11530" width="11.21875" style="9" customWidth="1"/>
    <col min="11531" max="11531" width="10.33203125" style="9" bestFit="1" customWidth="1"/>
    <col min="11532" max="11532" width="12.21875" style="9" customWidth="1"/>
    <col min="11533" max="11533" width="11.77734375" style="9" customWidth="1"/>
    <col min="11534" max="11534" width="22.77734375" style="9" customWidth="1"/>
    <col min="11535" max="11780" width="11.44140625" style="9"/>
    <col min="11781" max="11781" width="4.44140625" style="9" customWidth="1"/>
    <col min="11782" max="11782" width="21.21875" style="9" customWidth="1"/>
    <col min="11783" max="11783" width="10.6640625" style="9" customWidth="1"/>
    <col min="11784" max="11784" width="11.21875" style="9" customWidth="1"/>
    <col min="11785" max="11785" width="13" style="9" bestFit="1" customWidth="1"/>
    <col min="11786" max="11786" width="11.21875" style="9" customWidth="1"/>
    <col min="11787" max="11787" width="10.33203125" style="9" bestFit="1" customWidth="1"/>
    <col min="11788" max="11788" width="12.21875" style="9" customWidth="1"/>
    <col min="11789" max="11789" width="11.77734375" style="9" customWidth="1"/>
    <col min="11790" max="11790" width="22.77734375" style="9" customWidth="1"/>
    <col min="11791" max="12036" width="11.44140625" style="9"/>
    <col min="12037" max="12037" width="4.44140625" style="9" customWidth="1"/>
    <col min="12038" max="12038" width="21.21875" style="9" customWidth="1"/>
    <col min="12039" max="12039" width="10.6640625" style="9" customWidth="1"/>
    <col min="12040" max="12040" width="11.21875" style="9" customWidth="1"/>
    <col min="12041" max="12041" width="13" style="9" bestFit="1" customWidth="1"/>
    <col min="12042" max="12042" width="11.21875" style="9" customWidth="1"/>
    <col min="12043" max="12043" width="10.33203125" style="9" bestFit="1" customWidth="1"/>
    <col min="12044" max="12044" width="12.21875" style="9" customWidth="1"/>
    <col min="12045" max="12045" width="11.77734375" style="9" customWidth="1"/>
    <col min="12046" max="12046" width="22.77734375" style="9" customWidth="1"/>
    <col min="12047" max="12292" width="11.44140625" style="9"/>
    <col min="12293" max="12293" width="4.44140625" style="9" customWidth="1"/>
    <col min="12294" max="12294" width="21.21875" style="9" customWidth="1"/>
    <col min="12295" max="12295" width="10.6640625" style="9" customWidth="1"/>
    <col min="12296" max="12296" width="11.21875" style="9" customWidth="1"/>
    <col min="12297" max="12297" width="13" style="9" bestFit="1" customWidth="1"/>
    <col min="12298" max="12298" width="11.21875" style="9" customWidth="1"/>
    <col min="12299" max="12299" width="10.33203125" style="9" bestFit="1" customWidth="1"/>
    <col min="12300" max="12300" width="12.21875" style="9" customWidth="1"/>
    <col min="12301" max="12301" width="11.77734375" style="9" customWidth="1"/>
    <col min="12302" max="12302" width="22.77734375" style="9" customWidth="1"/>
    <col min="12303" max="12548" width="11.44140625" style="9"/>
    <col min="12549" max="12549" width="4.44140625" style="9" customWidth="1"/>
    <col min="12550" max="12550" width="21.21875" style="9" customWidth="1"/>
    <col min="12551" max="12551" width="10.6640625" style="9" customWidth="1"/>
    <col min="12552" max="12552" width="11.21875" style="9" customWidth="1"/>
    <col min="12553" max="12553" width="13" style="9" bestFit="1" customWidth="1"/>
    <col min="12554" max="12554" width="11.21875" style="9" customWidth="1"/>
    <col min="12555" max="12555" width="10.33203125" style="9" bestFit="1" customWidth="1"/>
    <col min="12556" max="12556" width="12.21875" style="9" customWidth="1"/>
    <col min="12557" max="12557" width="11.77734375" style="9" customWidth="1"/>
    <col min="12558" max="12558" width="22.77734375" style="9" customWidth="1"/>
    <col min="12559" max="12804" width="11.44140625" style="9"/>
    <col min="12805" max="12805" width="4.44140625" style="9" customWidth="1"/>
    <col min="12806" max="12806" width="21.21875" style="9" customWidth="1"/>
    <col min="12807" max="12807" width="10.6640625" style="9" customWidth="1"/>
    <col min="12808" max="12808" width="11.21875" style="9" customWidth="1"/>
    <col min="12809" max="12809" width="13" style="9" bestFit="1" customWidth="1"/>
    <col min="12810" max="12810" width="11.21875" style="9" customWidth="1"/>
    <col min="12811" max="12811" width="10.33203125" style="9" bestFit="1" customWidth="1"/>
    <col min="12812" max="12812" width="12.21875" style="9" customWidth="1"/>
    <col min="12813" max="12813" width="11.77734375" style="9" customWidth="1"/>
    <col min="12814" max="12814" width="22.77734375" style="9" customWidth="1"/>
    <col min="12815" max="13060" width="11.44140625" style="9"/>
    <col min="13061" max="13061" width="4.44140625" style="9" customWidth="1"/>
    <col min="13062" max="13062" width="21.21875" style="9" customWidth="1"/>
    <col min="13063" max="13063" width="10.6640625" style="9" customWidth="1"/>
    <col min="13064" max="13064" width="11.21875" style="9" customWidth="1"/>
    <col min="13065" max="13065" width="13" style="9" bestFit="1" customWidth="1"/>
    <col min="13066" max="13066" width="11.21875" style="9" customWidth="1"/>
    <col min="13067" max="13067" width="10.33203125" style="9" bestFit="1" customWidth="1"/>
    <col min="13068" max="13068" width="12.21875" style="9" customWidth="1"/>
    <col min="13069" max="13069" width="11.77734375" style="9" customWidth="1"/>
    <col min="13070" max="13070" width="22.77734375" style="9" customWidth="1"/>
    <col min="13071" max="13316" width="11.44140625" style="9"/>
    <col min="13317" max="13317" width="4.44140625" style="9" customWidth="1"/>
    <col min="13318" max="13318" width="21.21875" style="9" customWidth="1"/>
    <col min="13319" max="13319" width="10.6640625" style="9" customWidth="1"/>
    <col min="13320" max="13320" width="11.21875" style="9" customWidth="1"/>
    <col min="13321" max="13321" width="13" style="9" bestFit="1" customWidth="1"/>
    <col min="13322" max="13322" width="11.21875" style="9" customWidth="1"/>
    <col min="13323" max="13323" width="10.33203125" style="9" bestFit="1" customWidth="1"/>
    <col min="13324" max="13324" width="12.21875" style="9" customWidth="1"/>
    <col min="13325" max="13325" width="11.77734375" style="9" customWidth="1"/>
    <col min="13326" max="13326" width="22.77734375" style="9" customWidth="1"/>
    <col min="13327" max="13572" width="11.44140625" style="9"/>
    <col min="13573" max="13573" width="4.44140625" style="9" customWidth="1"/>
    <col min="13574" max="13574" width="21.21875" style="9" customWidth="1"/>
    <col min="13575" max="13575" width="10.6640625" style="9" customWidth="1"/>
    <col min="13576" max="13576" width="11.21875" style="9" customWidth="1"/>
    <col min="13577" max="13577" width="13" style="9" bestFit="1" customWidth="1"/>
    <col min="13578" max="13578" width="11.21875" style="9" customWidth="1"/>
    <col min="13579" max="13579" width="10.33203125" style="9" bestFit="1" customWidth="1"/>
    <col min="13580" max="13580" width="12.21875" style="9" customWidth="1"/>
    <col min="13581" max="13581" width="11.77734375" style="9" customWidth="1"/>
    <col min="13582" max="13582" width="22.77734375" style="9" customWidth="1"/>
    <col min="13583" max="13828" width="11.44140625" style="9"/>
    <col min="13829" max="13829" width="4.44140625" style="9" customWidth="1"/>
    <col min="13830" max="13830" width="21.21875" style="9" customWidth="1"/>
    <col min="13831" max="13831" width="10.6640625" style="9" customWidth="1"/>
    <col min="13832" max="13832" width="11.21875" style="9" customWidth="1"/>
    <col min="13833" max="13833" width="13" style="9" bestFit="1" customWidth="1"/>
    <col min="13834" max="13834" width="11.21875" style="9" customWidth="1"/>
    <col min="13835" max="13835" width="10.33203125" style="9" bestFit="1" customWidth="1"/>
    <col min="13836" max="13836" width="12.21875" style="9" customWidth="1"/>
    <col min="13837" max="13837" width="11.77734375" style="9" customWidth="1"/>
    <col min="13838" max="13838" width="22.77734375" style="9" customWidth="1"/>
    <col min="13839" max="14084" width="11.44140625" style="9"/>
    <col min="14085" max="14085" width="4.44140625" style="9" customWidth="1"/>
    <col min="14086" max="14086" width="21.21875" style="9" customWidth="1"/>
    <col min="14087" max="14087" width="10.6640625" style="9" customWidth="1"/>
    <col min="14088" max="14088" width="11.21875" style="9" customWidth="1"/>
    <col min="14089" max="14089" width="13" style="9" bestFit="1" customWidth="1"/>
    <col min="14090" max="14090" width="11.21875" style="9" customWidth="1"/>
    <col min="14091" max="14091" width="10.33203125" style="9" bestFit="1" customWidth="1"/>
    <col min="14092" max="14092" width="12.21875" style="9" customWidth="1"/>
    <col min="14093" max="14093" width="11.77734375" style="9" customWidth="1"/>
    <col min="14094" max="14094" width="22.77734375" style="9" customWidth="1"/>
    <col min="14095" max="14340" width="11.44140625" style="9"/>
    <col min="14341" max="14341" width="4.44140625" style="9" customWidth="1"/>
    <col min="14342" max="14342" width="21.21875" style="9" customWidth="1"/>
    <col min="14343" max="14343" width="10.6640625" style="9" customWidth="1"/>
    <col min="14344" max="14344" width="11.21875" style="9" customWidth="1"/>
    <col min="14345" max="14345" width="13" style="9" bestFit="1" customWidth="1"/>
    <col min="14346" max="14346" width="11.21875" style="9" customWidth="1"/>
    <col min="14347" max="14347" width="10.33203125" style="9" bestFit="1" customWidth="1"/>
    <col min="14348" max="14348" width="12.21875" style="9" customWidth="1"/>
    <col min="14349" max="14349" width="11.77734375" style="9" customWidth="1"/>
    <col min="14350" max="14350" width="22.77734375" style="9" customWidth="1"/>
    <col min="14351" max="14596" width="11.44140625" style="9"/>
    <col min="14597" max="14597" width="4.44140625" style="9" customWidth="1"/>
    <col min="14598" max="14598" width="21.21875" style="9" customWidth="1"/>
    <col min="14599" max="14599" width="10.6640625" style="9" customWidth="1"/>
    <col min="14600" max="14600" width="11.21875" style="9" customWidth="1"/>
    <col min="14601" max="14601" width="13" style="9" bestFit="1" customWidth="1"/>
    <col min="14602" max="14602" width="11.21875" style="9" customWidth="1"/>
    <col min="14603" max="14603" width="10.33203125" style="9" bestFit="1" customWidth="1"/>
    <col min="14604" max="14604" width="12.21875" style="9" customWidth="1"/>
    <col min="14605" max="14605" width="11.77734375" style="9" customWidth="1"/>
    <col min="14606" max="14606" width="22.77734375" style="9" customWidth="1"/>
    <col min="14607" max="14852" width="11.44140625" style="9"/>
    <col min="14853" max="14853" width="4.44140625" style="9" customWidth="1"/>
    <col min="14854" max="14854" width="21.21875" style="9" customWidth="1"/>
    <col min="14855" max="14855" width="10.6640625" style="9" customWidth="1"/>
    <col min="14856" max="14856" width="11.21875" style="9" customWidth="1"/>
    <col min="14857" max="14857" width="13" style="9" bestFit="1" customWidth="1"/>
    <col min="14858" max="14858" width="11.21875" style="9" customWidth="1"/>
    <col min="14859" max="14859" width="10.33203125" style="9" bestFit="1" customWidth="1"/>
    <col min="14860" max="14860" width="12.21875" style="9" customWidth="1"/>
    <col min="14861" max="14861" width="11.77734375" style="9" customWidth="1"/>
    <col min="14862" max="14862" width="22.77734375" style="9" customWidth="1"/>
    <col min="14863" max="15108" width="11.44140625" style="9"/>
    <col min="15109" max="15109" width="4.44140625" style="9" customWidth="1"/>
    <col min="15110" max="15110" width="21.21875" style="9" customWidth="1"/>
    <col min="15111" max="15111" width="10.6640625" style="9" customWidth="1"/>
    <col min="15112" max="15112" width="11.21875" style="9" customWidth="1"/>
    <col min="15113" max="15113" width="13" style="9" bestFit="1" customWidth="1"/>
    <col min="15114" max="15114" width="11.21875" style="9" customWidth="1"/>
    <col min="15115" max="15115" width="10.33203125" style="9" bestFit="1" customWidth="1"/>
    <col min="15116" max="15116" width="12.21875" style="9" customWidth="1"/>
    <col min="15117" max="15117" width="11.77734375" style="9" customWidth="1"/>
    <col min="15118" max="15118" width="22.77734375" style="9" customWidth="1"/>
    <col min="15119" max="15364" width="11.44140625" style="9"/>
    <col min="15365" max="15365" width="4.44140625" style="9" customWidth="1"/>
    <col min="15366" max="15366" width="21.21875" style="9" customWidth="1"/>
    <col min="15367" max="15367" width="10.6640625" style="9" customWidth="1"/>
    <col min="15368" max="15368" width="11.21875" style="9" customWidth="1"/>
    <col min="15369" max="15369" width="13" style="9" bestFit="1" customWidth="1"/>
    <col min="15370" max="15370" width="11.21875" style="9" customWidth="1"/>
    <col min="15371" max="15371" width="10.33203125" style="9" bestFit="1" customWidth="1"/>
    <col min="15372" max="15372" width="12.21875" style="9" customWidth="1"/>
    <col min="15373" max="15373" width="11.77734375" style="9" customWidth="1"/>
    <col min="15374" max="15374" width="22.77734375" style="9" customWidth="1"/>
    <col min="15375" max="15620" width="11.44140625" style="9"/>
    <col min="15621" max="15621" width="4.44140625" style="9" customWidth="1"/>
    <col min="15622" max="15622" width="21.21875" style="9" customWidth="1"/>
    <col min="15623" max="15623" width="10.6640625" style="9" customWidth="1"/>
    <col min="15624" max="15624" width="11.21875" style="9" customWidth="1"/>
    <col min="15625" max="15625" width="13" style="9" bestFit="1" customWidth="1"/>
    <col min="15626" max="15626" width="11.21875" style="9" customWidth="1"/>
    <col min="15627" max="15627" width="10.33203125" style="9" bestFit="1" customWidth="1"/>
    <col min="15628" max="15628" width="12.21875" style="9" customWidth="1"/>
    <col min="15629" max="15629" width="11.77734375" style="9" customWidth="1"/>
    <col min="15630" max="15630" width="22.77734375" style="9" customWidth="1"/>
    <col min="15631" max="15876" width="11.44140625" style="9"/>
    <col min="15877" max="15877" width="4.44140625" style="9" customWidth="1"/>
    <col min="15878" max="15878" width="21.21875" style="9" customWidth="1"/>
    <col min="15879" max="15879" width="10.6640625" style="9" customWidth="1"/>
    <col min="15880" max="15880" width="11.21875" style="9" customWidth="1"/>
    <col min="15881" max="15881" width="13" style="9" bestFit="1" customWidth="1"/>
    <col min="15882" max="15882" width="11.21875" style="9" customWidth="1"/>
    <col min="15883" max="15883" width="10.33203125" style="9" bestFit="1" customWidth="1"/>
    <col min="15884" max="15884" width="12.21875" style="9" customWidth="1"/>
    <col min="15885" max="15885" width="11.77734375" style="9" customWidth="1"/>
    <col min="15886" max="15886" width="22.77734375" style="9" customWidth="1"/>
    <col min="15887" max="16132" width="11.44140625" style="9"/>
    <col min="16133" max="16133" width="4.44140625" style="9" customWidth="1"/>
    <col min="16134" max="16134" width="21.21875" style="9" customWidth="1"/>
    <col min="16135" max="16135" width="10.6640625" style="9" customWidth="1"/>
    <col min="16136" max="16136" width="11.21875" style="9" customWidth="1"/>
    <col min="16137" max="16137" width="13" style="9" bestFit="1" customWidth="1"/>
    <col min="16138" max="16138" width="11.21875" style="9" customWidth="1"/>
    <col min="16139" max="16139" width="10.33203125" style="9" bestFit="1" customWidth="1"/>
    <col min="16140" max="16140" width="12.21875" style="9" customWidth="1"/>
    <col min="16141" max="16141" width="11.77734375" style="9" customWidth="1"/>
    <col min="16142" max="16142" width="22.77734375" style="9" customWidth="1"/>
    <col min="16143" max="16384" width="11.44140625" style="9"/>
  </cols>
  <sheetData>
    <row r="1" spans="1:251" ht="25.2" customHeight="1" x14ac:dyDescent="0.3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3" spans="1:251" s="44" customFormat="1" ht="37.799999999999997" customHeight="1" x14ac:dyDescent="0.3">
      <c r="A3" s="241" t="s">
        <v>89</v>
      </c>
      <c r="B3" s="242"/>
      <c r="C3" s="243" t="s">
        <v>94</v>
      </c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269"/>
      <c r="O3" s="45"/>
      <c r="P3" s="45"/>
      <c r="Q3" s="260"/>
      <c r="R3" s="259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s="44" customFormat="1" ht="25.2" customHeight="1" x14ac:dyDescent="0.3">
      <c r="A4" s="241" t="s">
        <v>77</v>
      </c>
      <c r="B4" s="242"/>
      <c r="C4" s="243" t="s">
        <v>160</v>
      </c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269"/>
      <c r="O4" s="45"/>
      <c r="P4" s="45"/>
      <c r="Q4" s="260"/>
      <c r="R4" s="259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s="44" customFormat="1" ht="25.2" customHeight="1" x14ac:dyDescent="0.3">
      <c r="A5" s="241" t="s">
        <v>92</v>
      </c>
      <c r="B5" s="242"/>
      <c r="C5" s="243" t="s">
        <v>93</v>
      </c>
      <c r="D5" s="244"/>
      <c r="E5" s="244"/>
      <c r="F5" s="244"/>
      <c r="G5" s="244"/>
      <c r="H5" s="244"/>
      <c r="I5" s="244"/>
      <c r="J5" s="244"/>
      <c r="K5" s="244"/>
      <c r="L5" s="244"/>
      <c r="M5" s="245"/>
      <c r="N5" s="269"/>
      <c r="O5" s="45"/>
      <c r="P5" s="45"/>
      <c r="Q5" s="260"/>
      <c r="R5" s="259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s="44" customFormat="1" ht="25.2" customHeight="1" x14ac:dyDescent="0.3">
      <c r="A6" s="241" t="s">
        <v>78</v>
      </c>
      <c r="B6" s="242"/>
      <c r="C6" s="246" t="s">
        <v>91</v>
      </c>
      <c r="D6" s="247"/>
      <c r="E6" s="247"/>
      <c r="F6" s="247"/>
      <c r="G6" s="247"/>
      <c r="H6" s="247"/>
      <c r="I6" s="247"/>
      <c r="J6" s="247"/>
      <c r="K6" s="247"/>
      <c r="L6" s="247"/>
      <c r="M6" s="248"/>
      <c r="N6" s="270"/>
      <c r="O6" s="45"/>
      <c r="P6" s="45"/>
      <c r="Q6" s="260"/>
      <c r="R6" s="259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s="44" customFormat="1" ht="25.2" customHeight="1" x14ac:dyDescent="0.3">
      <c r="A7" s="241" t="s">
        <v>90</v>
      </c>
      <c r="B7" s="242"/>
      <c r="C7" s="246" t="s">
        <v>162</v>
      </c>
      <c r="D7" s="247"/>
      <c r="E7" s="247"/>
      <c r="F7" s="247"/>
      <c r="G7" s="247"/>
      <c r="H7" s="247"/>
      <c r="I7" s="247"/>
      <c r="J7" s="247"/>
      <c r="K7" s="247"/>
      <c r="L7" s="247"/>
      <c r="M7" s="248"/>
      <c r="N7" s="270"/>
      <c r="O7" s="45"/>
      <c r="P7" s="45"/>
      <c r="Q7" s="260"/>
      <c r="R7" s="259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5.2" customHeight="1" thickBot="1" x14ac:dyDescent="0.35">
      <c r="A8" s="118"/>
      <c r="B8" s="119"/>
      <c r="C8" s="119"/>
      <c r="D8" s="119"/>
    </row>
    <row r="9" spans="1:251" ht="25.2" customHeight="1" x14ac:dyDescent="0.3">
      <c r="A9" s="235" t="s">
        <v>105</v>
      </c>
      <c r="B9" s="237" t="s">
        <v>106</v>
      </c>
      <c r="C9" s="171" t="s">
        <v>83</v>
      </c>
      <c r="D9" s="262"/>
      <c r="E9" s="249" t="s">
        <v>84</v>
      </c>
      <c r="F9" s="249"/>
      <c r="G9" s="249"/>
      <c r="H9" s="249"/>
      <c r="I9" s="249"/>
      <c r="J9" s="250"/>
      <c r="K9" s="267" t="s">
        <v>107</v>
      </c>
      <c r="L9" s="268"/>
      <c r="M9" s="272" t="s">
        <v>108</v>
      </c>
      <c r="N9" s="273"/>
      <c r="O9" s="239" t="s">
        <v>109</v>
      </c>
    </row>
    <row r="10" spans="1:251" ht="39.6" customHeight="1" x14ac:dyDescent="0.3">
      <c r="A10" s="236"/>
      <c r="B10" s="238"/>
      <c r="C10" s="134" t="s">
        <v>110</v>
      </c>
      <c r="D10" s="263" t="s">
        <v>165</v>
      </c>
      <c r="E10" s="125" t="s">
        <v>157</v>
      </c>
      <c r="F10" s="197" t="s">
        <v>153</v>
      </c>
      <c r="G10" s="197" t="s">
        <v>152</v>
      </c>
      <c r="H10" s="225" t="s">
        <v>164</v>
      </c>
      <c r="I10" s="125" t="s">
        <v>156</v>
      </c>
      <c r="J10" s="265" t="s">
        <v>111</v>
      </c>
      <c r="K10" s="197" t="s">
        <v>112</v>
      </c>
      <c r="L10" s="197" t="s">
        <v>167</v>
      </c>
      <c r="M10" s="197" t="s">
        <v>113</v>
      </c>
      <c r="N10" s="197" t="s">
        <v>166</v>
      </c>
      <c r="O10" s="240"/>
    </row>
    <row r="11" spans="1:251" ht="54.6" customHeight="1" x14ac:dyDescent="0.3">
      <c r="A11" s="286">
        <v>1</v>
      </c>
      <c r="B11" s="32" t="s">
        <v>56</v>
      </c>
      <c r="C11" s="106">
        <v>108705.12129380053</v>
      </c>
      <c r="D11" s="264">
        <v>77000</v>
      </c>
      <c r="E11" s="127">
        <v>32469.9888075013</v>
      </c>
      <c r="F11" s="194">
        <v>12182.210868975724</v>
      </c>
      <c r="G11" s="194">
        <v>12366.712406102612</v>
      </c>
      <c r="H11" s="226">
        <v>19718.00454677716</v>
      </c>
      <c r="I11" s="127">
        <f>+F11+G11+H11</f>
        <v>44266.927821855497</v>
      </c>
      <c r="J11" s="266">
        <f>+E11+I11</f>
        <v>76736.916629356798</v>
      </c>
      <c r="K11" s="194">
        <f>+C11-J11</f>
        <v>31968.204664443736</v>
      </c>
      <c r="L11" s="194">
        <f>D11-J11</f>
        <v>263.08337064320222</v>
      </c>
      <c r="M11" s="193">
        <f t="shared" ref="M11:M19" si="0">J11/C11</f>
        <v>0.70591813629421996</v>
      </c>
      <c r="N11" s="193">
        <f>J11/D11</f>
        <v>0.99658333284878953</v>
      </c>
      <c r="O11" s="196" t="s">
        <v>154</v>
      </c>
    </row>
    <row r="12" spans="1:251" ht="46.8" customHeight="1" x14ac:dyDescent="0.3">
      <c r="A12" s="286">
        <v>2</v>
      </c>
      <c r="B12" s="32" t="s">
        <v>58</v>
      </c>
      <c r="C12" s="106">
        <v>4312.6684636118598</v>
      </c>
      <c r="D12" s="264">
        <v>2000</v>
      </c>
      <c r="E12" s="127">
        <v>834.97714614704341</v>
      </c>
      <c r="F12" s="194">
        <v>443.91190048323824</v>
      </c>
      <c r="G12" s="194">
        <v>201.43275831990408</v>
      </c>
      <c r="H12" s="226">
        <v>392.79387872381295</v>
      </c>
      <c r="I12" s="127">
        <f t="shared" ref="I12:I17" si="1">+F12+G12+H12</f>
        <v>1038.1385375269554</v>
      </c>
      <c r="J12" s="266">
        <f t="shared" ref="J12:J18" si="2">+E12+I12</f>
        <v>1873.1156836739988</v>
      </c>
      <c r="K12" s="194">
        <f t="shared" ref="K12:K18" si="3">+C12-J12</f>
        <v>2439.552779937861</v>
      </c>
      <c r="L12" s="194">
        <f t="shared" ref="L12:L18" si="4">D12-J12</f>
        <v>126.88431632600123</v>
      </c>
      <c r="M12" s="193">
        <f t="shared" si="0"/>
        <v>0.43432869915190847</v>
      </c>
      <c r="N12" s="193">
        <f t="shared" ref="N12:N19" si="5">J12/D12</f>
        <v>0.93655784183699942</v>
      </c>
      <c r="O12" s="196" t="s">
        <v>114</v>
      </c>
    </row>
    <row r="13" spans="1:251" ht="49.8" customHeight="1" x14ac:dyDescent="0.3">
      <c r="A13" s="286">
        <v>3</v>
      </c>
      <c r="B13" s="32" t="s">
        <v>115</v>
      </c>
      <c r="C13" s="106">
        <v>8948.7870619946098</v>
      </c>
      <c r="D13" s="264">
        <v>8948.7870619946098</v>
      </c>
      <c r="E13" s="127">
        <v>8069.6841909274408</v>
      </c>
      <c r="F13" s="194">
        <v>1214.4161277505734</v>
      </c>
      <c r="G13" s="194">
        <v>0</v>
      </c>
      <c r="H13" s="226">
        <v>0</v>
      </c>
      <c r="I13" s="127">
        <f t="shared" si="1"/>
        <v>1214.4161277505734</v>
      </c>
      <c r="J13" s="266">
        <f t="shared" si="2"/>
        <v>9284.1003186780144</v>
      </c>
      <c r="K13" s="194">
        <f t="shared" si="3"/>
        <v>-335.31325668340469</v>
      </c>
      <c r="L13" s="194">
        <f t="shared" si="4"/>
        <v>-335.31325668340469</v>
      </c>
      <c r="M13" s="193">
        <f t="shared" si="0"/>
        <v>1.0374702464546817</v>
      </c>
      <c r="N13" s="193">
        <f t="shared" si="5"/>
        <v>1.0374702464546817</v>
      </c>
      <c r="O13" s="196" t="s">
        <v>116</v>
      </c>
    </row>
    <row r="14" spans="1:251" ht="61.2" customHeight="1" x14ac:dyDescent="0.3">
      <c r="A14" s="286">
        <v>4</v>
      </c>
      <c r="B14" s="32" t="s">
        <v>117</v>
      </c>
      <c r="C14" s="106">
        <v>55525.606469002698</v>
      </c>
      <c r="D14" s="264">
        <v>20000</v>
      </c>
      <c r="E14" s="127">
        <v>9244.2666241413172</v>
      </c>
      <c r="F14" s="194">
        <v>0</v>
      </c>
      <c r="G14" s="194">
        <v>5982.5529221011511</v>
      </c>
      <c r="H14" s="226">
        <v>468.33116309377698</v>
      </c>
      <c r="I14" s="127">
        <f t="shared" si="1"/>
        <v>6450.884085194928</v>
      </c>
      <c r="J14" s="266">
        <f t="shared" si="2"/>
        <v>15695.150709336245</v>
      </c>
      <c r="K14" s="194">
        <f t="shared" si="3"/>
        <v>39830.455759666453</v>
      </c>
      <c r="L14" s="194">
        <f t="shared" si="4"/>
        <v>4304.8492906637548</v>
      </c>
      <c r="M14" s="193">
        <f t="shared" si="0"/>
        <v>0.28266509287202651</v>
      </c>
      <c r="N14" s="193">
        <f t="shared" si="5"/>
        <v>0.78475753546681226</v>
      </c>
      <c r="O14" s="196" t="s">
        <v>155</v>
      </c>
    </row>
    <row r="15" spans="1:251" ht="62.4" customHeight="1" x14ac:dyDescent="0.3">
      <c r="A15" s="287">
        <v>5</v>
      </c>
      <c r="B15" s="288" t="s">
        <v>118</v>
      </c>
      <c r="C15" s="289">
        <v>30619.946091644204</v>
      </c>
      <c r="D15" s="290">
        <v>30000</v>
      </c>
      <c r="E15" s="291">
        <v>13571.232344249707</v>
      </c>
      <c r="F15" s="292">
        <v>6859.4957955624204</v>
      </c>
      <c r="G15" s="292">
        <v>7021.9459550318552</v>
      </c>
      <c r="H15" s="293">
        <v>2044.5424969470264</v>
      </c>
      <c r="I15" s="291">
        <f t="shared" si="1"/>
        <v>15925.984247541302</v>
      </c>
      <c r="J15" s="294">
        <f t="shared" si="2"/>
        <v>29497.21659179101</v>
      </c>
      <c r="K15" s="292">
        <f t="shared" si="3"/>
        <v>1122.7294998531943</v>
      </c>
      <c r="L15" s="292">
        <f t="shared" si="4"/>
        <v>502.78340820899029</v>
      </c>
      <c r="M15" s="295">
        <f t="shared" si="0"/>
        <v>0.96333339397486484</v>
      </c>
      <c r="N15" s="295">
        <f t="shared" si="5"/>
        <v>0.98324055305970037</v>
      </c>
      <c r="O15" s="296" t="s">
        <v>158</v>
      </c>
    </row>
    <row r="16" spans="1:251" ht="129.6" x14ac:dyDescent="0.3">
      <c r="A16" s="286">
        <v>6</v>
      </c>
      <c r="B16" s="32" t="s">
        <v>119</v>
      </c>
      <c r="C16" s="297">
        <v>344129.38005390839</v>
      </c>
      <c r="D16" s="297">
        <v>228000</v>
      </c>
      <c r="E16" s="127">
        <v>45871.670269681134</v>
      </c>
      <c r="F16" s="194">
        <v>40530.794866112366</v>
      </c>
      <c r="G16" s="194">
        <v>49470.003859972974</v>
      </c>
      <c r="H16" s="226">
        <v>45160.580334077764</v>
      </c>
      <c r="I16" s="127">
        <f t="shared" si="1"/>
        <v>135161.3790601631</v>
      </c>
      <c r="J16" s="298">
        <f t="shared" si="2"/>
        <v>181033.04932984425</v>
      </c>
      <c r="K16" s="194">
        <f t="shared" si="3"/>
        <v>163096.33072406414</v>
      </c>
      <c r="L16" s="194">
        <f t="shared" si="4"/>
        <v>46966.950670155755</v>
      </c>
      <c r="M16" s="193">
        <f t="shared" si="0"/>
        <v>0.52606101025575069</v>
      </c>
      <c r="N16" s="193">
        <f t="shared" si="5"/>
        <v>0.79400460232387826</v>
      </c>
      <c r="O16" s="196" t="s">
        <v>159</v>
      </c>
    </row>
    <row r="17" spans="1:20" ht="215.4" customHeight="1" x14ac:dyDescent="0.3">
      <c r="A17" s="286">
        <v>7</v>
      </c>
      <c r="B17" s="32" t="s">
        <v>120</v>
      </c>
      <c r="C17" s="297">
        <v>242151.37466307278</v>
      </c>
      <c r="D17" s="297">
        <v>190126</v>
      </c>
      <c r="E17" s="127">
        <v>51983.668946231788</v>
      </c>
      <c r="F17" s="194">
        <v>33599.501499618957</v>
      </c>
      <c r="G17" s="194">
        <v>20929.326884782171</v>
      </c>
      <c r="H17" s="226">
        <v>76472.737696736149</v>
      </c>
      <c r="I17" s="127">
        <f t="shared" si="1"/>
        <v>131001.56608113728</v>
      </c>
      <c r="J17" s="298">
        <f t="shared" si="2"/>
        <v>182985.23502736905</v>
      </c>
      <c r="K17" s="194">
        <f t="shared" si="3"/>
        <v>59166.13963570373</v>
      </c>
      <c r="L17" s="194">
        <f t="shared" si="4"/>
        <v>7140.7649726309464</v>
      </c>
      <c r="M17" s="193">
        <f t="shared" si="0"/>
        <v>0.75566465514380432</v>
      </c>
      <c r="N17" s="193">
        <f t="shared" si="5"/>
        <v>0.96244193338822182</v>
      </c>
      <c r="O17" s="196" t="s">
        <v>163</v>
      </c>
    </row>
    <row r="18" spans="1:20" ht="49.8" customHeight="1" x14ac:dyDescent="0.3">
      <c r="A18" s="286">
        <v>8</v>
      </c>
      <c r="B18" s="32" t="s">
        <v>121</v>
      </c>
      <c r="C18" s="106">
        <v>55607.501886792503</v>
      </c>
      <c r="D18" s="264">
        <f>C18*70%</f>
        <v>38925.251320754753</v>
      </c>
      <c r="E18" s="127">
        <v>11343.1841830216</v>
      </c>
      <c r="F18" s="194">
        <v>6638.1231740952308</v>
      </c>
      <c r="G18" s="194">
        <v>6718.0382350417503</v>
      </c>
      <c r="H18" s="226">
        <f>(H17+H16+H15+H14+H13+H12+H11)*7%</f>
        <v>10097.989308144901</v>
      </c>
      <c r="I18" s="127">
        <f>+F18+G18+H18</f>
        <v>23454.150717281882</v>
      </c>
      <c r="J18" s="266">
        <f t="shared" si="2"/>
        <v>34797.334900303482</v>
      </c>
      <c r="K18" s="194">
        <f t="shared" si="3"/>
        <v>20810.166986489021</v>
      </c>
      <c r="L18" s="194">
        <f t="shared" si="4"/>
        <v>4127.9164204512708</v>
      </c>
      <c r="M18" s="193">
        <f t="shared" si="0"/>
        <v>0.62576691488758096</v>
      </c>
      <c r="N18" s="193">
        <f t="shared" si="5"/>
        <v>0.89395273555368704</v>
      </c>
      <c r="O18" s="196" t="s">
        <v>104</v>
      </c>
    </row>
    <row r="19" spans="1:20" ht="33" customHeight="1" thickBot="1" x14ac:dyDescent="0.35">
      <c r="A19" s="164"/>
      <c r="B19" s="165" t="s">
        <v>122</v>
      </c>
      <c r="C19" s="166">
        <f t="shared" ref="C19:J19" si="6">SUM(C11:C18)</f>
        <v>850000.38598382752</v>
      </c>
      <c r="D19" s="166">
        <f>SUM(D11:D18)</f>
        <v>595000.03838274942</v>
      </c>
      <c r="E19" s="166">
        <f>SUM(E11:E18)</f>
        <v>173388.67251190136</v>
      </c>
      <c r="F19" s="166">
        <f t="shared" si="6"/>
        <v>101468.45423259851</v>
      </c>
      <c r="G19" s="166">
        <f t="shared" si="6"/>
        <v>102690.01302135242</v>
      </c>
      <c r="H19" s="232">
        <f t="shared" si="6"/>
        <v>154354.97942450061</v>
      </c>
      <c r="I19" s="166">
        <f>SUM(I11:I18)</f>
        <v>358513.4466784515</v>
      </c>
      <c r="J19" s="166">
        <f t="shared" si="6"/>
        <v>531902.11919035285</v>
      </c>
      <c r="K19" s="195">
        <f>SUM(K11:K18)</f>
        <v>318098.26679347473</v>
      </c>
      <c r="L19" s="195">
        <f>SUM(L11:L18)</f>
        <v>63097.919192396519</v>
      </c>
      <c r="M19" s="167">
        <f t="shared" si="0"/>
        <v>0.62576691488758107</v>
      </c>
      <c r="N19" s="271">
        <f>J19/D19</f>
        <v>0.89395308382853045</v>
      </c>
      <c r="O19" s="168"/>
      <c r="T19" s="284"/>
    </row>
    <row r="20" spans="1:20" ht="25.2" customHeight="1" x14ac:dyDescent="0.3">
      <c r="I20" s="169"/>
      <c r="J20" s="170"/>
    </row>
    <row r="21" spans="1:20" ht="25.2" customHeight="1" x14ac:dyDescent="0.3">
      <c r="D21" s="285"/>
      <c r="H21" s="227"/>
      <c r="I21" s="169"/>
      <c r="J21" s="170"/>
    </row>
    <row r="22" spans="1:20" ht="25.2" customHeight="1" x14ac:dyDescent="0.3">
      <c r="H22" s="261"/>
      <c r="J22" s="170"/>
    </row>
    <row r="23" spans="1:20" s="132" customFormat="1" ht="10.199999999999999" x14ac:dyDescent="0.2">
      <c r="B23" s="159" t="s">
        <v>95</v>
      </c>
      <c r="G23" s="160"/>
      <c r="H23" s="228"/>
      <c r="I23" s="160" t="s">
        <v>96</v>
      </c>
      <c r="L23" s="198"/>
      <c r="M23" s="198" t="s">
        <v>96</v>
      </c>
      <c r="Q23" s="280"/>
      <c r="R23" s="275"/>
    </row>
    <row r="24" spans="1:20" s="120" customFormat="1" ht="10.199999999999999" x14ac:dyDescent="0.2">
      <c r="B24" s="121" t="s">
        <v>97</v>
      </c>
      <c r="G24" s="121"/>
      <c r="H24" s="229"/>
      <c r="I24" s="121" t="s">
        <v>79</v>
      </c>
      <c r="J24" s="132"/>
      <c r="L24" s="199"/>
      <c r="M24" s="199" t="s">
        <v>79</v>
      </c>
      <c r="Q24" s="281"/>
      <c r="R24" s="276"/>
    </row>
    <row r="25" spans="1:20" s="161" customFormat="1" ht="10.199999999999999" x14ac:dyDescent="0.2">
      <c r="B25" s="162" t="s">
        <v>98</v>
      </c>
      <c r="G25" s="162"/>
      <c r="H25" s="230"/>
      <c r="I25" s="162" t="s">
        <v>99</v>
      </c>
      <c r="J25" s="163"/>
      <c r="L25" s="200"/>
      <c r="M25" s="200" t="s">
        <v>99</v>
      </c>
      <c r="Q25" s="282"/>
      <c r="R25" s="277"/>
    </row>
    <row r="26" spans="1:20" s="123" customFormat="1" ht="25.2" customHeight="1" x14ac:dyDescent="0.3">
      <c r="A26" s="122"/>
      <c r="H26" s="231"/>
      <c r="J26" s="133"/>
      <c r="K26" s="122"/>
      <c r="L26" s="122"/>
      <c r="M26" s="124"/>
      <c r="N26" s="124"/>
      <c r="Q26" s="283"/>
      <c r="R26" s="278"/>
    </row>
    <row r="27" spans="1:20" s="123" customFormat="1" ht="25.2" customHeight="1" x14ac:dyDescent="0.3">
      <c r="A27" s="122"/>
      <c r="H27" s="231"/>
      <c r="J27" s="133"/>
      <c r="K27" s="122"/>
      <c r="L27" s="122"/>
      <c r="M27" s="124"/>
      <c r="N27" s="124"/>
      <c r="Q27" s="283"/>
      <c r="R27" s="278"/>
    </row>
  </sheetData>
  <mergeCells count="17">
    <mergeCell ref="M9:N9"/>
    <mergeCell ref="A1:O1"/>
    <mergeCell ref="A9:A10"/>
    <mergeCell ref="B9:B10"/>
    <mergeCell ref="O9:O10"/>
    <mergeCell ref="A3:B3"/>
    <mergeCell ref="A4:B4"/>
    <mergeCell ref="A5:B5"/>
    <mergeCell ref="A6:B6"/>
    <mergeCell ref="A7:B7"/>
    <mergeCell ref="C3:M3"/>
    <mergeCell ref="C4:M4"/>
    <mergeCell ref="C5:M5"/>
    <mergeCell ref="C6:M6"/>
    <mergeCell ref="C7:M7"/>
    <mergeCell ref="E9:J9"/>
    <mergeCell ref="K9:L9"/>
  </mergeCells>
  <pageMargins left="0.29725000000000001" right="0.38424999999999998" top="0.39874999999999999" bottom="0.23924999999999999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2"/>
  <sheetViews>
    <sheetView showGridLines="0" tabSelected="1" view="pageLayout" topLeftCell="A42" zoomScaleNormal="100" workbookViewId="0">
      <selection activeCell="D50" sqref="D50"/>
    </sheetView>
  </sheetViews>
  <sheetFormatPr baseColWidth="10" defaultRowHeight="10.8" x14ac:dyDescent="0.25"/>
  <cols>
    <col min="1" max="1" width="13.33203125" style="10" customWidth="1"/>
    <col min="2" max="2" width="46.44140625" style="10" customWidth="1"/>
    <col min="3" max="3" width="11.6640625" style="11" customWidth="1"/>
    <col min="4" max="4" width="10.6640625" style="102" customWidth="1"/>
    <col min="5" max="5" width="10.5546875" style="102" hidden="1" customWidth="1"/>
    <col min="6" max="6" width="10.6640625" style="51" hidden="1" customWidth="1"/>
    <col min="7" max="7" width="10.6640625" style="206" hidden="1" customWidth="1"/>
    <col min="8" max="8" width="11.44140625" style="51" bestFit="1" customWidth="1"/>
    <col min="9" max="9" width="12.77734375" style="102" bestFit="1" customWidth="1"/>
    <col min="10" max="10" width="11.5546875" style="10" customWidth="1"/>
    <col min="11" max="11" width="9.6640625" style="10" bestFit="1" customWidth="1"/>
    <col min="12" max="12" width="11.21875" style="10" customWidth="1"/>
    <col min="13" max="16384" width="11.5546875" style="10"/>
  </cols>
  <sheetData>
    <row r="1" spans="1:250" s="44" customFormat="1" ht="31.2" customHeight="1" x14ac:dyDescent="0.3">
      <c r="A1" s="50" t="s">
        <v>89</v>
      </c>
      <c r="B1" s="243" t="s">
        <v>94</v>
      </c>
      <c r="C1" s="244"/>
      <c r="D1" s="244"/>
      <c r="E1" s="244"/>
      <c r="F1" s="244"/>
      <c r="G1" s="244"/>
      <c r="H1" s="244"/>
      <c r="I1" s="2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50" s="44" customFormat="1" ht="25.8" customHeight="1" x14ac:dyDescent="0.3">
      <c r="A2" s="50" t="s">
        <v>77</v>
      </c>
      <c r="B2" s="243" t="s">
        <v>160</v>
      </c>
      <c r="C2" s="244"/>
      <c r="D2" s="244"/>
      <c r="E2" s="244"/>
      <c r="F2" s="244"/>
      <c r="G2" s="244"/>
      <c r="H2" s="244"/>
      <c r="I2" s="2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s="44" customFormat="1" ht="24.6" customHeight="1" x14ac:dyDescent="0.3">
      <c r="A3" s="50" t="s">
        <v>92</v>
      </c>
      <c r="B3" s="243" t="s">
        <v>161</v>
      </c>
      <c r="C3" s="244"/>
      <c r="D3" s="244"/>
      <c r="E3" s="244"/>
      <c r="F3" s="244"/>
      <c r="G3" s="244"/>
      <c r="H3" s="244"/>
      <c r="I3" s="2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</row>
    <row r="4" spans="1:250" s="44" customFormat="1" ht="26.4" customHeight="1" x14ac:dyDescent="0.3">
      <c r="A4" s="50" t="s">
        <v>78</v>
      </c>
      <c r="B4" s="246" t="s">
        <v>91</v>
      </c>
      <c r="C4" s="247"/>
      <c r="D4" s="247"/>
      <c r="E4" s="247"/>
      <c r="F4" s="247"/>
      <c r="G4" s="247"/>
      <c r="H4" s="247"/>
      <c r="I4" s="248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s="44" customFormat="1" ht="24.6" customHeight="1" x14ac:dyDescent="0.3">
      <c r="A5" s="50" t="s">
        <v>90</v>
      </c>
      <c r="B5" s="246" t="s">
        <v>162</v>
      </c>
      <c r="C5" s="247"/>
      <c r="D5" s="247"/>
      <c r="E5" s="247"/>
      <c r="F5" s="247"/>
      <c r="G5" s="247"/>
      <c r="H5" s="247"/>
      <c r="I5" s="248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</row>
    <row r="6" spans="1:250" ht="9.6" customHeight="1" x14ac:dyDescent="0.25"/>
    <row r="7" spans="1:250" hidden="1" x14ac:dyDescent="0.25"/>
    <row r="8" spans="1:250" ht="31.2" thickBot="1" x14ac:dyDescent="0.3">
      <c r="A8" s="46" t="s">
        <v>0</v>
      </c>
      <c r="B8" s="46" t="s">
        <v>1</v>
      </c>
      <c r="C8" s="46" t="s">
        <v>168</v>
      </c>
      <c r="D8" s="125" t="s">
        <v>130</v>
      </c>
      <c r="E8" s="173" t="s">
        <v>153</v>
      </c>
      <c r="F8" s="173" t="s">
        <v>152</v>
      </c>
      <c r="G8" s="207" t="s">
        <v>164</v>
      </c>
      <c r="H8" s="100" t="s">
        <v>151</v>
      </c>
      <c r="I8" s="103" t="s">
        <v>103</v>
      </c>
      <c r="J8" s="46" t="s">
        <v>2</v>
      </c>
      <c r="K8" s="46" t="s">
        <v>100</v>
      </c>
      <c r="L8" s="46" t="s">
        <v>102</v>
      </c>
    </row>
    <row r="9" spans="1:250" ht="23.4" customHeight="1" x14ac:dyDescent="0.25">
      <c r="A9" s="57" t="s">
        <v>3</v>
      </c>
      <c r="B9" s="58" t="s">
        <v>4</v>
      </c>
      <c r="C9" s="59"/>
      <c r="D9" s="104"/>
      <c r="E9" s="104"/>
      <c r="F9" s="77"/>
      <c r="G9" s="208"/>
      <c r="H9" s="77"/>
      <c r="I9" s="104"/>
      <c r="J9" s="59"/>
      <c r="K9" s="59"/>
      <c r="L9" s="60"/>
    </row>
    <row r="10" spans="1:250" ht="20.399999999999999" customHeight="1" x14ac:dyDescent="0.25">
      <c r="A10" s="62" t="s">
        <v>5</v>
      </c>
      <c r="B10" s="63" t="s">
        <v>6</v>
      </c>
      <c r="C10" s="64"/>
      <c r="D10" s="105"/>
      <c r="E10" s="105"/>
      <c r="F10" s="78"/>
      <c r="G10" s="209"/>
      <c r="H10" s="78"/>
      <c r="I10" s="105"/>
      <c r="J10" s="64"/>
      <c r="K10" s="64"/>
      <c r="L10" s="65"/>
    </row>
    <row r="11" spans="1:250" ht="31.2" customHeight="1" x14ac:dyDescent="0.25">
      <c r="A11" s="28" t="s">
        <v>7</v>
      </c>
      <c r="B11" s="29" t="s">
        <v>8</v>
      </c>
      <c r="C11" s="37">
        <v>20506.738544474392</v>
      </c>
      <c r="D11" s="126">
        <v>6817.218471706874</v>
      </c>
      <c r="E11" s="130">
        <f>'[1]RECAP AEA'!G62</f>
        <v>12281.562580036261</v>
      </c>
      <c r="F11" s="130">
        <v>0</v>
      </c>
      <c r="G11" s="210">
        <v>0</v>
      </c>
      <c r="H11" s="40">
        <f>+E11+F11+G11</f>
        <v>12281.562580036261</v>
      </c>
      <c r="I11" s="106">
        <f>+D11+H11</f>
        <v>19098.781051743135</v>
      </c>
      <c r="J11" s="30">
        <f>+C11-I11</f>
        <v>1407.9574927312569</v>
      </c>
      <c r="K11" s="66">
        <v>0</v>
      </c>
      <c r="L11" s="85">
        <f>I11/C11</f>
        <v>0.93134171532553933</v>
      </c>
    </row>
    <row r="12" spans="1:250" ht="27.6" customHeight="1" x14ac:dyDescent="0.25">
      <c r="A12" s="31" t="s">
        <v>9</v>
      </c>
      <c r="B12" s="32" t="s">
        <v>10</v>
      </c>
      <c r="C12" s="38">
        <v>7547.1698113207549</v>
      </c>
      <c r="D12" s="127">
        <v>7183.2470861834245</v>
      </c>
      <c r="E12" s="130">
        <v>0</v>
      </c>
      <c r="F12" s="130">
        <v>1007.1637915995204</v>
      </c>
      <c r="G12" s="210">
        <v>0</v>
      </c>
      <c r="H12" s="41">
        <f t="shared" ref="H12:H14" si="0">+E12+F12+G12</f>
        <v>1007.1637915995204</v>
      </c>
      <c r="I12" s="106">
        <f>+D12+H12</f>
        <v>8190.4108777829451</v>
      </c>
      <c r="J12" s="33">
        <f>+C12-I12</f>
        <v>-643.24106646219025</v>
      </c>
      <c r="K12" s="67">
        <v>0</v>
      </c>
      <c r="L12" s="86">
        <f>I12/C12</f>
        <v>1.0852294413062402</v>
      </c>
    </row>
    <row r="13" spans="1:250" ht="28.8" customHeight="1" x14ac:dyDescent="0.25">
      <c r="A13" s="31" t="s">
        <v>11</v>
      </c>
      <c r="B13" s="32" t="s">
        <v>12</v>
      </c>
      <c r="C13" s="38">
        <v>15708.8948787062</v>
      </c>
      <c r="D13" s="158"/>
      <c r="E13" s="130">
        <v>0</v>
      </c>
      <c r="F13" s="130">
        <v>14674.376443605011</v>
      </c>
      <c r="G13" s="210">
        <v>0</v>
      </c>
      <c r="H13" s="41">
        <f t="shared" si="0"/>
        <v>14674.376443605011</v>
      </c>
      <c r="I13" s="106">
        <f>+D13+H13</f>
        <v>14674.376443605011</v>
      </c>
      <c r="J13" s="33">
        <f>+C13-I13</f>
        <v>1034.5184351011885</v>
      </c>
      <c r="K13" s="67">
        <v>0</v>
      </c>
      <c r="L13" s="86">
        <f>I13/C13</f>
        <v>0.93414441670855508</v>
      </c>
    </row>
    <row r="14" spans="1:250" ht="30.6" customHeight="1" thickBot="1" x14ac:dyDescent="0.3">
      <c r="A14" s="34" t="s">
        <v>13</v>
      </c>
      <c r="B14" s="35" t="s">
        <v>14</v>
      </c>
      <c r="C14" s="39">
        <v>18048.517520215635</v>
      </c>
      <c r="D14" s="128">
        <v>19405.291649695842</v>
      </c>
      <c r="E14" s="130">
        <v>0</v>
      </c>
      <c r="F14" s="130">
        <v>0</v>
      </c>
      <c r="G14" s="210">
        <v>0</v>
      </c>
      <c r="H14" s="42">
        <f t="shared" si="0"/>
        <v>0</v>
      </c>
      <c r="I14" s="106">
        <f>+D14+H14</f>
        <v>19405.291649695842</v>
      </c>
      <c r="J14" s="36">
        <f>+C14-I14</f>
        <v>-1356.7741294802072</v>
      </c>
      <c r="K14" s="68">
        <v>0</v>
      </c>
      <c r="L14" s="87">
        <f>I14/C14</f>
        <v>1.0751737159553698</v>
      </c>
    </row>
    <row r="15" spans="1:250" ht="19.2" customHeight="1" thickBot="1" x14ac:dyDescent="0.3">
      <c r="A15" s="15"/>
      <c r="B15" s="26" t="s">
        <v>15</v>
      </c>
      <c r="C15" s="27">
        <f t="shared" ref="C15:J15" si="1">SUM(C11:C14)</f>
        <v>61811.320754716988</v>
      </c>
      <c r="D15" s="107">
        <f>SUM(D11:D14)</f>
        <v>33405.757207586139</v>
      </c>
      <c r="E15" s="107">
        <f t="shared" si="1"/>
        <v>12281.562580036261</v>
      </c>
      <c r="F15" s="79">
        <f>SUM(F11:F14)</f>
        <v>15681.540235204531</v>
      </c>
      <c r="G15" s="211">
        <f>SUM(G11:G14)</f>
        <v>0</v>
      </c>
      <c r="H15" s="79">
        <f>SUM(H11:H14)</f>
        <v>27963.102815240793</v>
      </c>
      <c r="I15" s="107">
        <f t="shared" si="1"/>
        <v>61368.860022826935</v>
      </c>
      <c r="J15" s="27">
        <f t="shared" si="1"/>
        <v>442.46073189004801</v>
      </c>
      <c r="K15" s="27">
        <f>(I11*K11)+(I12*K12)+(I13*K13)+(I14*K14)</f>
        <v>0</v>
      </c>
      <c r="L15" s="88">
        <f>I15/C15</f>
        <v>0.99284175250605222</v>
      </c>
    </row>
    <row r="16" spans="1:250" ht="21" customHeight="1" x14ac:dyDescent="0.25">
      <c r="A16" s="25" t="s">
        <v>16</v>
      </c>
      <c r="B16" s="61" t="s">
        <v>17</v>
      </c>
      <c r="C16" s="53"/>
      <c r="D16" s="108"/>
      <c r="E16" s="108"/>
      <c r="F16" s="80"/>
      <c r="G16" s="212"/>
      <c r="H16" s="80"/>
      <c r="I16" s="108"/>
      <c r="J16" s="53"/>
      <c r="K16" s="53"/>
      <c r="L16" s="53"/>
    </row>
    <row r="17" spans="1:12" ht="35.4" customHeight="1" x14ac:dyDescent="0.25">
      <c r="A17" s="31" t="s">
        <v>18</v>
      </c>
      <c r="B17" s="32" t="s">
        <v>19</v>
      </c>
      <c r="C17" s="38">
        <v>133099.73045822102</v>
      </c>
      <c r="D17" s="156">
        <v>0</v>
      </c>
      <c r="E17" s="130">
        <f>'[1]RECAP AEA'!G74</f>
        <v>10558.76163292274</v>
      </c>
      <c r="F17" s="130">
        <v>18038.303507547407</v>
      </c>
      <c r="G17" s="210">
        <v>35834.88770511093</v>
      </c>
      <c r="H17" s="41">
        <f t="shared" ref="H17:H19" si="2">+E17+F17+G17</f>
        <v>64431.95284558108</v>
      </c>
      <c r="I17" s="106">
        <f>+D17+H17</f>
        <v>64431.95284558108</v>
      </c>
      <c r="J17" s="33">
        <f>+C17-I17</f>
        <v>68667.77761263994</v>
      </c>
      <c r="K17" s="67">
        <v>0</v>
      </c>
      <c r="L17" s="86">
        <f>I17/C17</f>
        <v>0.48408777856846053</v>
      </c>
    </row>
    <row r="18" spans="1:12" ht="32.4" x14ac:dyDescent="0.25">
      <c r="A18" s="31" t="s">
        <v>20</v>
      </c>
      <c r="B18" s="32" t="s">
        <v>21</v>
      </c>
      <c r="C18" s="38">
        <v>20927.223719676549</v>
      </c>
      <c r="D18" s="156">
        <v>0</v>
      </c>
      <c r="E18" s="130">
        <v>0</v>
      </c>
      <c r="F18" s="130">
        <v>0</v>
      </c>
      <c r="G18" s="210">
        <v>19549.049194946692</v>
      </c>
      <c r="H18" s="41">
        <f t="shared" si="2"/>
        <v>19549.049194946692</v>
      </c>
      <c r="I18" s="106">
        <f>+D18+H18</f>
        <v>19549.049194946692</v>
      </c>
      <c r="J18" s="33">
        <f>+C18-I18</f>
        <v>1378.1745247298568</v>
      </c>
      <c r="K18" s="67">
        <v>0</v>
      </c>
      <c r="L18" s="86">
        <f>I18/C18</f>
        <v>0.9341444167085553</v>
      </c>
    </row>
    <row r="19" spans="1:12" ht="27.6" customHeight="1" thickBot="1" x14ac:dyDescent="0.3">
      <c r="A19" s="31" t="s">
        <v>22</v>
      </c>
      <c r="B19" s="32" t="s">
        <v>23</v>
      </c>
      <c r="C19" s="38">
        <v>20269.541778975741</v>
      </c>
      <c r="D19" s="156">
        <v>0</v>
      </c>
      <c r="E19" s="130">
        <v>0</v>
      </c>
      <c r="F19" s="130">
        <v>0</v>
      </c>
      <c r="G19" s="210"/>
      <c r="H19" s="41">
        <f t="shared" si="2"/>
        <v>0</v>
      </c>
      <c r="I19" s="106">
        <f>+D19+H19</f>
        <v>0</v>
      </c>
      <c r="J19" s="33">
        <f>+C19-I19</f>
        <v>20269.541778975741</v>
      </c>
      <c r="K19" s="67">
        <v>0</v>
      </c>
      <c r="L19" s="86">
        <f>I19/C19</f>
        <v>0</v>
      </c>
    </row>
    <row r="20" spans="1:12" ht="16.8" customHeight="1" thickBot="1" x14ac:dyDescent="0.3">
      <c r="A20" s="15"/>
      <c r="B20" s="26" t="s">
        <v>24</v>
      </c>
      <c r="C20" s="27">
        <f t="shared" ref="C20:J20" si="3">SUM(C17:C19)</f>
        <v>174296.49595687332</v>
      </c>
      <c r="D20" s="107">
        <f t="shared" si="3"/>
        <v>0</v>
      </c>
      <c r="E20" s="107">
        <f t="shared" si="3"/>
        <v>10558.76163292274</v>
      </c>
      <c r="F20" s="79">
        <f>SUM(F17:F19)</f>
        <v>18038.303507547407</v>
      </c>
      <c r="G20" s="211">
        <f>SUM(G17:G19)</f>
        <v>55383.936900057626</v>
      </c>
      <c r="H20" s="79">
        <f>SUM(H17:H19)</f>
        <v>83981.002040527776</v>
      </c>
      <c r="I20" s="107">
        <f t="shared" si="3"/>
        <v>83981.002040527776</v>
      </c>
      <c r="J20" s="27">
        <f t="shared" si="3"/>
        <v>90315.493916345527</v>
      </c>
      <c r="K20" s="27">
        <f>(I17*K17)+(I18*K18)+(I19*K19)</f>
        <v>0</v>
      </c>
      <c r="L20" s="88">
        <f>I20/C20</f>
        <v>0.48182840153773049</v>
      </c>
    </row>
    <row r="21" spans="1:12" ht="11.4" thickBot="1" x14ac:dyDescent="0.3">
      <c r="A21" s="16"/>
      <c r="B21" s="16"/>
      <c r="C21" s="17"/>
      <c r="D21" s="109"/>
      <c r="E21" s="109"/>
      <c r="F21" s="81"/>
      <c r="G21" s="213"/>
      <c r="H21" s="81"/>
      <c r="I21" s="109"/>
      <c r="J21" s="16"/>
      <c r="K21" s="16"/>
      <c r="L21" s="16"/>
    </row>
    <row r="22" spans="1:12" ht="21" customHeight="1" x14ac:dyDescent="0.25">
      <c r="A22" s="24" t="s">
        <v>25</v>
      </c>
      <c r="B22" s="70" t="s">
        <v>26</v>
      </c>
      <c r="C22" s="58"/>
      <c r="D22" s="110"/>
      <c r="E22" s="110"/>
      <c r="F22" s="89"/>
      <c r="G22" s="214"/>
      <c r="H22" s="89"/>
      <c r="I22" s="110"/>
      <c r="J22" s="58"/>
      <c r="K22" s="58"/>
      <c r="L22" s="90"/>
    </row>
    <row r="23" spans="1:12" ht="19.2" customHeight="1" x14ac:dyDescent="0.25">
      <c r="A23" s="25" t="s">
        <v>27</v>
      </c>
      <c r="B23" s="69" t="s">
        <v>28</v>
      </c>
      <c r="C23" s="63"/>
      <c r="D23" s="111"/>
      <c r="E23" s="111"/>
      <c r="F23" s="91"/>
      <c r="G23" s="215"/>
      <c r="H23" s="91"/>
      <c r="I23" s="111"/>
      <c r="J23" s="63"/>
      <c r="K23" s="63"/>
      <c r="L23" s="92"/>
    </row>
    <row r="24" spans="1:12" ht="32.4" x14ac:dyDescent="0.25">
      <c r="A24" s="31" t="s">
        <v>29</v>
      </c>
      <c r="B24" s="32" t="s">
        <v>30</v>
      </c>
      <c r="C24" s="38">
        <v>65660.377358490572</v>
      </c>
      <c r="D24" s="127">
        <v>29710.389339485308</v>
      </c>
      <c r="E24" s="130">
        <f>[1]RECAP!G97</f>
        <v>3128.5219653104414</v>
      </c>
      <c r="F24" s="130">
        <v>6989.7167137006709</v>
      </c>
      <c r="G24" s="210">
        <v>4471.8072347018706</v>
      </c>
      <c r="H24" s="41">
        <f t="shared" ref="H24:H25" si="4">+E24+F24+G24</f>
        <v>14590.045913712984</v>
      </c>
      <c r="I24" s="106">
        <f>+D24+H24</f>
        <v>44300.435253198288</v>
      </c>
      <c r="J24" s="33">
        <f>+C24-I24</f>
        <v>21359.942105292284</v>
      </c>
      <c r="K24" s="67">
        <v>0</v>
      </c>
      <c r="L24" s="86">
        <f>I24/C24</f>
        <v>0.67469053690215774</v>
      </c>
    </row>
    <row r="25" spans="1:12" ht="33" thickBot="1" x14ac:dyDescent="0.3">
      <c r="A25" s="31" t="s">
        <v>31</v>
      </c>
      <c r="B25" s="32" t="s">
        <v>32</v>
      </c>
      <c r="C25" s="38">
        <v>14307.277628032343</v>
      </c>
      <c r="D25" s="127">
        <v>14025.502189077553</v>
      </c>
      <c r="E25" s="172">
        <v>0</v>
      </c>
      <c r="F25" s="130">
        <v>0</v>
      </c>
      <c r="G25" s="210">
        <v>0</v>
      </c>
      <c r="H25" s="41">
        <f t="shared" si="4"/>
        <v>0</v>
      </c>
      <c r="I25" s="106">
        <f>+D25+H25</f>
        <v>14025.502189077553</v>
      </c>
      <c r="J25" s="33">
        <f>+C25-I25</f>
        <v>281.77543895478993</v>
      </c>
      <c r="K25" s="67">
        <v>0</v>
      </c>
      <c r="L25" s="86">
        <f>I25/C25</f>
        <v>0.98030544690048471</v>
      </c>
    </row>
    <row r="26" spans="1:12" ht="20.399999999999999" customHeight="1" thickBot="1" x14ac:dyDescent="0.3">
      <c r="A26" s="15"/>
      <c r="B26" s="26" t="s">
        <v>33</v>
      </c>
      <c r="C26" s="27">
        <f t="shared" ref="C26:J26" si="5">SUM(C24:C25)</f>
        <v>79967.654986522917</v>
      </c>
      <c r="D26" s="107">
        <f t="shared" si="5"/>
        <v>43735.891528562861</v>
      </c>
      <c r="E26" s="107">
        <f t="shared" si="5"/>
        <v>3128.5219653104414</v>
      </c>
      <c r="F26" s="79">
        <f>SUM(F24:F25)</f>
        <v>6989.7167137006709</v>
      </c>
      <c r="G26" s="211">
        <f>SUM(G24:G25)</f>
        <v>4471.8072347018706</v>
      </c>
      <c r="H26" s="79">
        <f>SUM(H24:H25)</f>
        <v>14590.045913712984</v>
      </c>
      <c r="I26" s="107">
        <f t="shared" si="5"/>
        <v>58325.937442275841</v>
      </c>
      <c r="J26" s="27">
        <f t="shared" si="5"/>
        <v>21641.717544247076</v>
      </c>
      <c r="K26" s="27">
        <f>(I24*K24)+(I25*K25)</f>
        <v>0</v>
      </c>
      <c r="L26" s="88">
        <f>I26/C26</f>
        <v>0.72936911120009218</v>
      </c>
    </row>
    <row r="27" spans="1:12" ht="22.8" customHeight="1" x14ac:dyDescent="0.25">
      <c r="A27" s="25" t="s">
        <v>34</v>
      </c>
      <c r="B27" s="73" t="s">
        <v>35</v>
      </c>
      <c r="C27" s="71"/>
      <c r="D27" s="112"/>
      <c r="E27" s="112"/>
      <c r="F27" s="93"/>
      <c r="G27" s="216"/>
      <c r="H27" s="93"/>
      <c r="I27" s="112"/>
      <c r="J27" s="71"/>
      <c r="K27" s="71"/>
      <c r="L27" s="72"/>
    </row>
    <row r="28" spans="1:12" ht="34.799999999999997" customHeight="1" x14ac:dyDescent="0.25">
      <c r="A28" s="31" t="s">
        <v>36</v>
      </c>
      <c r="B28" s="32" t="s">
        <v>37</v>
      </c>
      <c r="C28" s="38">
        <v>20927.223719676549</v>
      </c>
      <c r="D28" s="156">
        <v>0</v>
      </c>
      <c r="E28" s="172">
        <v>0</v>
      </c>
      <c r="F28" s="130">
        <v>19851.198332426546</v>
      </c>
      <c r="G28" s="210">
        <v>0</v>
      </c>
      <c r="H28" s="156">
        <f t="shared" ref="H28:H29" si="6">+E28+F28+G28</f>
        <v>19851.198332426546</v>
      </c>
      <c r="I28" s="157">
        <f>+D28+H28</f>
        <v>19851.198332426546</v>
      </c>
      <c r="J28" s="33">
        <f>+C28-I28</f>
        <v>1076.0253872500034</v>
      </c>
      <c r="K28" s="67">
        <v>0</v>
      </c>
      <c r="L28" s="86">
        <f>I28/C28</f>
        <v>0.94858250661131482</v>
      </c>
    </row>
    <row r="29" spans="1:12" ht="33" thickBot="1" x14ac:dyDescent="0.3">
      <c r="A29" s="31" t="s">
        <v>38</v>
      </c>
      <c r="B29" s="32" t="s">
        <v>39</v>
      </c>
      <c r="C29" s="38">
        <v>20269.541778975741</v>
      </c>
      <c r="D29" s="156">
        <v>0</v>
      </c>
      <c r="E29" s="172">
        <v>0</v>
      </c>
      <c r="F29" s="130">
        <v>0</v>
      </c>
      <c r="G29" s="210">
        <v>0</v>
      </c>
      <c r="H29" s="156">
        <f t="shared" si="6"/>
        <v>0</v>
      </c>
      <c r="I29" s="157">
        <f>+D29+H29</f>
        <v>0</v>
      </c>
      <c r="J29" s="33">
        <f>+C29-I29</f>
        <v>20269.541778975741</v>
      </c>
      <c r="K29" s="67">
        <v>0</v>
      </c>
      <c r="L29" s="86">
        <f>I29/C29</f>
        <v>0</v>
      </c>
    </row>
    <row r="30" spans="1:12" ht="19.2" customHeight="1" thickBot="1" x14ac:dyDescent="0.3">
      <c r="A30" s="15"/>
      <c r="B30" s="26" t="s">
        <v>40</v>
      </c>
      <c r="C30" s="27">
        <f t="shared" ref="C30:J30" si="7">SUM(C28:C29)</f>
        <v>41196.76549865229</v>
      </c>
      <c r="D30" s="107">
        <f t="shared" si="7"/>
        <v>0</v>
      </c>
      <c r="E30" s="107">
        <f t="shared" si="7"/>
        <v>0</v>
      </c>
      <c r="F30" s="79">
        <f>SUM(F28:F29)</f>
        <v>19851.198332426546</v>
      </c>
      <c r="G30" s="211">
        <f>SUM(G28:G29)</f>
        <v>0</v>
      </c>
      <c r="H30" s="79">
        <f>SUM(H28:H29)</f>
        <v>19851.198332426546</v>
      </c>
      <c r="I30" s="107">
        <f t="shared" si="7"/>
        <v>19851.198332426546</v>
      </c>
      <c r="J30" s="27">
        <f t="shared" si="7"/>
        <v>21345.567166225745</v>
      </c>
      <c r="K30" s="27">
        <f>(I28*K28)+(I29*K29)</f>
        <v>0</v>
      </c>
      <c r="L30" s="88">
        <f>I30/C30</f>
        <v>0.48186303201584979</v>
      </c>
    </row>
    <row r="31" spans="1:12" ht="11.4" thickBot="1" x14ac:dyDescent="0.3">
      <c r="A31" s="18"/>
      <c r="B31" s="18"/>
      <c r="C31" s="19"/>
      <c r="D31" s="113"/>
      <c r="E31" s="113"/>
      <c r="F31" s="82"/>
      <c r="G31" s="217"/>
      <c r="H31" s="82"/>
      <c r="I31" s="113"/>
      <c r="J31" s="18"/>
      <c r="K31" s="18"/>
      <c r="L31" s="18"/>
    </row>
    <row r="32" spans="1:12" ht="25.8" customHeight="1" x14ac:dyDescent="0.25">
      <c r="A32" s="24" t="s">
        <v>41</v>
      </c>
      <c r="B32" s="70" t="s">
        <v>42</v>
      </c>
      <c r="C32" s="59"/>
      <c r="D32" s="104"/>
      <c r="E32" s="104"/>
      <c r="F32" s="77"/>
      <c r="G32" s="208"/>
      <c r="H32" s="77"/>
      <c r="I32" s="104"/>
      <c r="J32" s="59"/>
      <c r="K32" s="59"/>
      <c r="L32" s="60"/>
    </row>
    <row r="33" spans="1:12" ht="25.2" customHeight="1" x14ac:dyDescent="0.25">
      <c r="A33" s="25" t="s">
        <v>43</v>
      </c>
      <c r="B33" s="69" t="s">
        <v>44</v>
      </c>
      <c r="C33" s="64"/>
      <c r="D33" s="105"/>
      <c r="E33" s="105"/>
      <c r="F33" s="78"/>
      <c r="G33" s="209"/>
      <c r="H33" s="78"/>
      <c r="I33" s="105"/>
      <c r="J33" s="64"/>
      <c r="K33" s="64"/>
      <c r="L33" s="65"/>
    </row>
    <row r="34" spans="1:12" ht="43.2" x14ac:dyDescent="0.25">
      <c r="A34" s="31" t="s">
        <v>45</v>
      </c>
      <c r="B34" s="32" t="s">
        <v>46</v>
      </c>
      <c r="C34" s="38">
        <v>27202.156334231808</v>
      </c>
      <c r="D34" s="156">
        <v>0</v>
      </c>
      <c r="E34" s="130">
        <f>[1]RECAP!G101</f>
        <v>26761.546000560935</v>
      </c>
      <c r="F34" s="130">
        <v>0</v>
      </c>
      <c r="G34" s="210">
        <v>0</v>
      </c>
      <c r="H34" s="41">
        <f t="shared" ref="H34" si="8">+E34+F34+G34</f>
        <v>26761.546000560935</v>
      </c>
      <c r="I34" s="106">
        <f>+D34+H34</f>
        <v>26761.546000560935</v>
      </c>
      <c r="J34" s="33">
        <f>+C34-I34</f>
        <v>440.61033367087293</v>
      </c>
      <c r="K34" s="67">
        <v>1</v>
      </c>
      <c r="L34" s="86">
        <f>I34/C34</f>
        <v>0.98380237477289989</v>
      </c>
    </row>
    <row r="35" spans="1:12" ht="37.200000000000003" customHeight="1" thickBot="1" x14ac:dyDescent="0.3">
      <c r="A35" s="31" t="s">
        <v>47</v>
      </c>
      <c r="B35" s="32" t="s">
        <v>48</v>
      </c>
      <c r="C35" s="38">
        <v>12938.00539083558</v>
      </c>
      <c r="D35" s="156">
        <v>0</v>
      </c>
      <c r="E35" s="172">
        <v>0</v>
      </c>
      <c r="F35" s="172">
        <v>0</v>
      </c>
      <c r="G35" s="218">
        <v>12085.965499194244</v>
      </c>
      <c r="H35" s="41">
        <f>+E35+F35+G35</f>
        <v>12085.965499194244</v>
      </c>
      <c r="I35" s="106">
        <f>+D35+H35</f>
        <v>12085.965499194244</v>
      </c>
      <c r="J35" s="33">
        <f>+C35-I35</f>
        <v>852.039891641336</v>
      </c>
      <c r="K35" s="67">
        <v>1</v>
      </c>
      <c r="L35" s="86">
        <f>I35/C35</f>
        <v>0.93414441670855508</v>
      </c>
    </row>
    <row r="36" spans="1:12" ht="16.8" customHeight="1" thickBot="1" x14ac:dyDescent="0.3">
      <c r="A36" s="15"/>
      <c r="B36" s="26" t="s">
        <v>49</v>
      </c>
      <c r="C36" s="27">
        <f t="shared" ref="C36:J36" si="9">SUM(C34:C35)</f>
        <v>40140.161725067388</v>
      </c>
      <c r="D36" s="107">
        <f t="shared" si="9"/>
        <v>0</v>
      </c>
      <c r="E36" s="107">
        <f t="shared" si="9"/>
        <v>26761.546000560935</v>
      </c>
      <c r="F36" s="79">
        <f>SUM(F34:F35)</f>
        <v>0</v>
      </c>
      <c r="G36" s="211">
        <f>SUM(G34:G35)</f>
        <v>12085.965499194244</v>
      </c>
      <c r="H36" s="79">
        <f>SUM(H34:H35)</f>
        <v>38847.511499755179</v>
      </c>
      <c r="I36" s="107">
        <f t="shared" si="9"/>
        <v>38847.511499755179</v>
      </c>
      <c r="J36" s="27">
        <f t="shared" si="9"/>
        <v>1292.6502253122089</v>
      </c>
      <c r="K36" s="27">
        <f>(I34*K34)+(I35*K35)</f>
        <v>38847.511499755179</v>
      </c>
      <c r="L36" s="88">
        <f>I36/C36</f>
        <v>0.96779658651686618</v>
      </c>
    </row>
    <row r="37" spans="1:12" ht="23.4" customHeight="1" x14ac:dyDescent="0.25">
      <c r="A37" s="25" t="s">
        <v>50</v>
      </c>
      <c r="B37" s="73" t="s">
        <v>51</v>
      </c>
      <c r="C37" s="74"/>
      <c r="D37" s="114"/>
      <c r="E37" s="114"/>
      <c r="F37" s="83"/>
      <c r="G37" s="219"/>
      <c r="H37" s="83"/>
      <c r="I37" s="114"/>
      <c r="J37" s="74"/>
      <c r="K37" s="74"/>
      <c r="L37" s="75"/>
    </row>
    <row r="38" spans="1:12" ht="33" customHeight="1" thickBot="1" x14ac:dyDescent="0.3">
      <c r="A38" s="31" t="s">
        <v>52</v>
      </c>
      <c r="B38" s="32" t="s">
        <v>53</v>
      </c>
      <c r="C38" s="38">
        <v>37735.849056603773</v>
      </c>
      <c r="D38" s="156">
        <v>0</v>
      </c>
      <c r="E38" s="172">
        <v>0</v>
      </c>
      <c r="F38" s="172">
        <v>0</v>
      </c>
      <c r="G38" s="218">
        <v>36761.478393382495</v>
      </c>
      <c r="H38" s="41">
        <f>+E38+F38+G38</f>
        <v>36761.478393382495</v>
      </c>
      <c r="I38" s="106">
        <f>+D38+H38</f>
        <v>36761.478393382495</v>
      </c>
      <c r="J38" s="33">
        <f>+C38-I38</f>
        <v>974.37066322127794</v>
      </c>
      <c r="K38" s="67">
        <v>1</v>
      </c>
      <c r="L38" s="86">
        <f>I38/C38</f>
        <v>0.97417917742463611</v>
      </c>
    </row>
    <row r="39" spans="1:12" ht="22.8" customHeight="1" thickBot="1" x14ac:dyDescent="0.3">
      <c r="A39" s="15"/>
      <c r="B39" s="26" t="s">
        <v>54</v>
      </c>
      <c r="C39" s="27">
        <f t="shared" ref="C39:J39" si="10">SUM(C38)</f>
        <v>37735.849056603773</v>
      </c>
      <c r="D39" s="107">
        <f t="shared" si="10"/>
        <v>0</v>
      </c>
      <c r="E39" s="107">
        <f t="shared" si="10"/>
        <v>0</v>
      </c>
      <c r="F39" s="79">
        <f>SUM(F38)</f>
        <v>0</v>
      </c>
      <c r="G39" s="211">
        <f>SUM(G38)</f>
        <v>36761.478393382495</v>
      </c>
      <c r="H39" s="79">
        <f>SUM(H38)</f>
        <v>36761.478393382495</v>
      </c>
      <c r="I39" s="107">
        <f t="shared" si="10"/>
        <v>36761.478393382495</v>
      </c>
      <c r="J39" s="27">
        <f t="shared" si="10"/>
        <v>974.37066322127794</v>
      </c>
      <c r="K39" s="27">
        <f>(I38*K38)</f>
        <v>36761.478393382495</v>
      </c>
      <c r="L39" s="88">
        <f>I39/C39</f>
        <v>0.97417917742463611</v>
      </c>
    </row>
    <row r="40" spans="1:12" ht="11.4" thickBot="1" x14ac:dyDescent="0.3">
      <c r="A40" s="17"/>
      <c r="B40" s="16"/>
      <c r="C40" s="17"/>
      <c r="D40" s="109"/>
      <c r="E40" s="109"/>
      <c r="F40" s="81"/>
      <c r="G40" s="213"/>
      <c r="H40" s="81"/>
      <c r="I40" s="109"/>
      <c r="J40" s="16"/>
      <c r="K40" s="16"/>
      <c r="L40" s="16"/>
    </row>
    <row r="41" spans="1:12" ht="28.8" customHeight="1" x14ac:dyDescent="0.25">
      <c r="A41" s="180" t="s">
        <v>55</v>
      </c>
      <c r="B41" s="181" t="s">
        <v>56</v>
      </c>
      <c r="C41" s="182">
        <v>190861.45552560646</v>
      </c>
      <c r="D41" s="183">
        <v>46766.427551759916</v>
      </c>
      <c r="E41" s="184">
        <f>[1]RECAP!G11+'[1]RECAP AEA'!G11</f>
        <v>26166.820422247307</v>
      </c>
      <c r="F41" s="184">
        <v>19369.493142060499</v>
      </c>
      <c r="G41" s="220">
        <v>25687.192908945679</v>
      </c>
      <c r="H41" s="185">
        <f>+E41+F41+G41</f>
        <v>71223.506473253481</v>
      </c>
      <c r="I41" s="186">
        <f t="shared" ref="I41:I54" si="11">+D41+H41</f>
        <v>117989.9340250134</v>
      </c>
      <c r="J41" s="187">
        <f t="shared" ref="J41:J54" si="12">+C41-I41</f>
        <v>72871.521500593066</v>
      </c>
      <c r="K41" s="188">
        <v>0.3</v>
      </c>
      <c r="L41" s="189">
        <f t="shared" ref="L41:L55" si="13">I41/C41</f>
        <v>0.61819676319708017</v>
      </c>
    </row>
    <row r="42" spans="1:12" ht="19.8" customHeight="1" x14ac:dyDescent="0.25">
      <c r="A42" s="253" t="s">
        <v>57</v>
      </c>
      <c r="B42" s="20" t="s">
        <v>58</v>
      </c>
      <c r="C42" s="12">
        <v>4312.6684636118598</v>
      </c>
      <c r="D42" s="127">
        <v>834.97714614704341</v>
      </c>
      <c r="E42" s="172">
        <f>[1]RECAP!G46</f>
        <v>443.91190048323824</v>
      </c>
      <c r="F42" s="172">
        <v>201.43275831990408</v>
      </c>
      <c r="G42" s="218">
        <v>392.79387872381295</v>
      </c>
      <c r="H42" s="41">
        <f t="shared" ref="H42:H54" si="14">+E42+F42+G42</f>
        <v>1038.1385375269554</v>
      </c>
      <c r="I42" s="106">
        <f t="shared" si="11"/>
        <v>1873.1156836739988</v>
      </c>
      <c r="J42" s="13">
        <f t="shared" si="12"/>
        <v>2439.552779937861</v>
      </c>
      <c r="K42" s="96">
        <v>0</v>
      </c>
      <c r="L42" s="94">
        <f t="shared" si="13"/>
        <v>0.43432869915190847</v>
      </c>
    </row>
    <row r="43" spans="1:12" ht="19.8" customHeight="1" x14ac:dyDescent="0.25">
      <c r="A43" s="254"/>
      <c r="B43" s="21" t="s">
        <v>59</v>
      </c>
      <c r="C43" s="12">
        <v>8948.7870619946098</v>
      </c>
      <c r="D43" s="127">
        <v>8069.6841909274408</v>
      </c>
      <c r="E43" s="172">
        <f>[1]RECAP!G50</f>
        <v>1214.4161277505734</v>
      </c>
      <c r="F43" s="172">
        <v>0</v>
      </c>
      <c r="G43" s="218">
        <v>0</v>
      </c>
      <c r="H43" s="41">
        <f t="shared" si="14"/>
        <v>1214.4161277505734</v>
      </c>
      <c r="I43" s="106">
        <f t="shared" si="11"/>
        <v>9284.1003186780144</v>
      </c>
      <c r="J43" s="13">
        <f t="shared" si="12"/>
        <v>-335.31325668340469</v>
      </c>
      <c r="K43" s="96">
        <v>0</v>
      </c>
      <c r="L43" s="94">
        <f t="shared" si="13"/>
        <v>1.0374702464546817</v>
      </c>
    </row>
    <row r="44" spans="1:12" ht="19.8" customHeight="1" x14ac:dyDescent="0.25">
      <c r="A44" s="254"/>
      <c r="B44" s="21" t="s">
        <v>60</v>
      </c>
      <c r="C44" s="12">
        <v>39633.423180592996</v>
      </c>
      <c r="D44" s="127">
        <v>15464.463753155898</v>
      </c>
      <c r="E44" s="172">
        <f>[1]RECAP!G73+[1]RECAP!G87+'[1]RECAP AEA'!G51</f>
        <v>7768.4582584566706</v>
      </c>
      <c r="F44" s="172">
        <v>9752.6691431956351</v>
      </c>
      <c r="G44" s="218">
        <v>4803.1641221381124</v>
      </c>
      <c r="H44" s="41">
        <f t="shared" si="14"/>
        <v>22324.291523790416</v>
      </c>
      <c r="I44" s="106">
        <f t="shared" si="11"/>
        <v>37788.755276946315</v>
      </c>
      <c r="J44" s="13">
        <f t="shared" si="12"/>
        <v>1844.6679036466812</v>
      </c>
      <c r="K44" s="96">
        <v>0</v>
      </c>
      <c r="L44" s="94">
        <f t="shared" si="13"/>
        <v>0.95345676059215734</v>
      </c>
    </row>
    <row r="45" spans="1:12" ht="19.8" customHeight="1" x14ac:dyDescent="0.25">
      <c r="A45" s="254"/>
      <c r="B45" s="21" t="s">
        <v>61</v>
      </c>
      <c r="C45" s="12">
        <v>5390.8355795148245</v>
      </c>
      <c r="D45" s="127">
        <v>2061.0195379578922</v>
      </c>
      <c r="E45" s="172">
        <v>0</v>
      </c>
      <c r="F45" s="172">
        <v>2457.4796515028297</v>
      </c>
      <c r="G45" s="218">
        <v>468.33116309377698</v>
      </c>
      <c r="H45" s="41">
        <f t="shared" si="14"/>
        <v>2925.8108145966066</v>
      </c>
      <c r="I45" s="106">
        <f t="shared" si="11"/>
        <v>4986.8303525544989</v>
      </c>
      <c r="J45" s="13">
        <f t="shared" si="12"/>
        <v>404.00522696032567</v>
      </c>
      <c r="K45" s="96">
        <v>0</v>
      </c>
      <c r="L45" s="94">
        <f t="shared" si="13"/>
        <v>0.92505703039885956</v>
      </c>
    </row>
    <row r="46" spans="1:12" ht="19.8" customHeight="1" x14ac:dyDescent="0.25">
      <c r="A46" s="254"/>
      <c r="B46" s="21" t="s">
        <v>62</v>
      </c>
      <c r="C46" s="12">
        <v>12938.00539083558</v>
      </c>
      <c r="D46" s="156">
        <v>0</v>
      </c>
      <c r="E46" s="172">
        <v>0</v>
      </c>
      <c r="F46" s="172">
        <v>0</v>
      </c>
      <c r="G46" s="218">
        <v>0</v>
      </c>
      <c r="H46" s="41">
        <f t="shared" si="14"/>
        <v>0</v>
      </c>
      <c r="I46" s="106">
        <f t="shared" si="11"/>
        <v>0</v>
      </c>
      <c r="J46" s="13">
        <f t="shared" si="12"/>
        <v>12938.00539083558</v>
      </c>
      <c r="K46" s="96">
        <v>0</v>
      </c>
      <c r="L46" s="94">
        <f t="shared" si="13"/>
        <v>0</v>
      </c>
    </row>
    <row r="47" spans="1:12" ht="19.8" customHeight="1" x14ac:dyDescent="0.25">
      <c r="A47" s="254"/>
      <c r="B47" s="21" t="s">
        <v>63</v>
      </c>
      <c r="C47" s="12">
        <v>31315.79514824798</v>
      </c>
      <c r="D47" s="127">
        <v>6628.1754180867983</v>
      </c>
      <c r="E47" s="172">
        <f>[1]RECAP!G108+'[1]RECAP AEA'!G36</f>
        <v>3737.1674581968164</v>
      </c>
      <c r="F47" s="172">
        <v>1127.3392802278292</v>
      </c>
      <c r="G47" s="218">
        <v>3659.2778458289577</v>
      </c>
      <c r="H47" s="41">
        <f t="shared" si="14"/>
        <v>8523.7845842536044</v>
      </c>
      <c r="I47" s="106">
        <f t="shared" si="11"/>
        <v>15151.960002340402</v>
      </c>
      <c r="J47" s="13">
        <f t="shared" si="12"/>
        <v>16163.835145907578</v>
      </c>
      <c r="K47" s="96">
        <v>0</v>
      </c>
      <c r="L47" s="94">
        <f t="shared" si="13"/>
        <v>0.48384401324033138</v>
      </c>
    </row>
    <row r="48" spans="1:12" ht="19.8" customHeight="1" x14ac:dyDescent="0.25">
      <c r="A48" s="255"/>
      <c r="B48" s="21" t="s">
        <v>64</v>
      </c>
      <c r="C48" s="12">
        <v>5498.6522911051215</v>
      </c>
      <c r="D48" s="127">
        <v>2032.4823443553983</v>
      </c>
      <c r="E48" s="172">
        <f>+[1]RECAP!G134+[1]RECAP!G132</f>
        <v>258.94860861522238</v>
      </c>
      <c r="F48" s="172">
        <v>428.04461142979619</v>
      </c>
      <c r="G48" s="218">
        <v>543.04217028911273</v>
      </c>
      <c r="H48" s="41">
        <f t="shared" si="14"/>
        <v>1230.0353903341313</v>
      </c>
      <c r="I48" s="106">
        <f t="shared" si="11"/>
        <v>3262.5177346895298</v>
      </c>
      <c r="J48" s="13">
        <f t="shared" si="12"/>
        <v>2236.1345564155918</v>
      </c>
      <c r="K48" s="96">
        <v>0</v>
      </c>
      <c r="L48" s="94">
        <f t="shared" si="13"/>
        <v>0.59333043116167428</v>
      </c>
    </row>
    <row r="49" spans="1:12" ht="19.8" customHeight="1" x14ac:dyDescent="0.25">
      <c r="A49" s="54" t="s">
        <v>65</v>
      </c>
      <c r="B49" s="21" t="s">
        <v>66</v>
      </c>
      <c r="C49" s="12">
        <v>2911.0512129380054</v>
      </c>
      <c r="D49" s="127">
        <v>1778.289934673925</v>
      </c>
      <c r="E49" s="172">
        <v>0</v>
      </c>
      <c r="F49" s="172">
        <v>523.72517163175064</v>
      </c>
      <c r="G49" s="218">
        <v>0</v>
      </c>
      <c r="H49" s="41">
        <f t="shared" si="14"/>
        <v>523.72517163175064</v>
      </c>
      <c r="I49" s="106">
        <f t="shared" si="11"/>
        <v>2302.0151063056755</v>
      </c>
      <c r="J49" s="13">
        <f t="shared" si="12"/>
        <v>609.03610663232985</v>
      </c>
      <c r="K49" s="96">
        <v>0.3</v>
      </c>
      <c r="L49" s="94">
        <f t="shared" si="13"/>
        <v>0.79078481892537555</v>
      </c>
    </row>
    <row r="50" spans="1:12" ht="19.8" customHeight="1" x14ac:dyDescent="0.25">
      <c r="A50" s="55"/>
      <c r="B50" s="21" t="s">
        <v>67</v>
      </c>
      <c r="C50" s="12">
        <v>1293.8005390835579</v>
      </c>
      <c r="D50" s="156">
        <v>0</v>
      </c>
      <c r="E50" s="172">
        <f>+[1]RECAP!G125</f>
        <v>1506.1296623538442</v>
      </c>
      <c r="F50" s="172">
        <v>0</v>
      </c>
      <c r="G50" s="218">
        <v>0</v>
      </c>
      <c r="H50" s="41">
        <f t="shared" si="14"/>
        <v>1506.1296623538442</v>
      </c>
      <c r="I50" s="106">
        <f t="shared" si="11"/>
        <v>1506.1296623538442</v>
      </c>
      <c r="J50" s="13">
        <f t="shared" si="12"/>
        <v>-212.32912327028635</v>
      </c>
      <c r="K50" s="96">
        <v>0.3</v>
      </c>
      <c r="L50" s="94">
        <f t="shared" si="13"/>
        <v>1.1641127181943256</v>
      </c>
    </row>
    <row r="51" spans="1:12" ht="19.8" customHeight="1" x14ac:dyDescent="0.25">
      <c r="A51" s="55"/>
      <c r="B51" s="21" t="s">
        <v>68</v>
      </c>
      <c r="C51" s="12">
        <v>6900.2695417789755</v>
      </c>
      <c r="D51" s="127">
        <v>1268.319715666395</v>
      </c>
      <c r="E51" s="172">
        <f>+[1]RECAP!G83</f>
        <v>1004.0864415692296</v>
      </c>
      <c r="F51" s="172">
        <v>1551.0322390632614</v>
      </c>
      <c r="G51" s="218">
        <v>0</v>
      </c>
      <c r="H51" s="41">
        <f t="shared" si="14"/>
        <v>2555.1186806324909</v>
      </c>
      <c r="I51" s="106">
        <f t="shared" si="11"/>
        <v>3823.4383962988859</v>
      </c>
      <c r="J51" s="13">
        <f t="shared" si="12"/>
        <v>3076.8311454800896</v>
      </c>
      <c r="K51" s="96">
        <v>0.3</v>
      </c>
      <c r="L51" s="94">
        <f>I51/C51</f>
        <v>0.55409986133862765</v>
      </c>
    </row>
    <row r="52" spans="1:12" ht="19.8" customHeight="1" x14ac:dyDescent="0.25">
      <c r="A52" s="56"/>
      <c r="B52" s="21" t="s">
        <v>69</v>
      </c>
      <c r="C52" s="12">
        <v>14738.54447439353</v>
      </c>
      <c r="D52" s="156">
        <v>0</v>
      </c>
      <c r="E52" s="172">
        <v>0</v>
      </c>
      <c r="F52" s="172">
        <v>0</v>
      </c>
      <c r="G52" s="218">
        <v>0</v>
      </c>
      <c r="H52" s="41">
        <f t="shared" si="14"/>
        <v>0</v>
      </c>
      <c r="I52" s="106">
        <f t="shared" si="11"/>
        <v>0</v>
      </c>
      <c r="J52" s="13">
        <f t="shared" si="12"/>
        <v>14738.54447439353</v>
      </c>
      <c r="K52" s="96">
        <v>0.3</v>
      </c>
      <c r="L52" s="94">
        <f t="shared" si="13"/>
        <v>0</v>
      </c>
    </row>
    <row r="53" spans="1:12" ht="24.6" customHeight="1" x14ac:dyDescent="0.25">
      <c r="A53" s="251" t="s">
        <v>70</v>
      </c>
      <c r="B53" s="21" t="s">
        <v>71</v>
      </c>
      <c r="C53" s="12">
        <v>12938.00539083558</v>
      </c>
      <c r="D53" s="156">
        <v>0</v>
      </c>
      <c r="E53" s="172">
        <v>0</v>
      </c>
      <c r="F53" s="172">
        <v>0</v>
      </c>
      <c r="G53" s="218">
        <v>0</v>
      </c>
      <c r="H53" s="41">
        <f t="shared" si="14"/>
        <v>0</v>
      </c>
      <c r="I53" s="106">
        <f t="shared" si="11"/>
        <v>0</v>
      </c>
      <c r="J53" s="13">
        <f t="shared" si="12"/>
        <v>12938.00539083558</v>
      </c>
      <c r="K53" s="96">
        <v>0.3</v>
      </c>
      <c r="L53" s="94">
        <f t="shared" si="13"/>
        <v>0</v>
      </c>
    </row>
    <row r="54" spans="1:12" ht="21.6" customHeight="1" thickBot="1" x14ac:dyDescent="0.3">
      <c r="A54" s="252"/>
      <c r="B54" s="22" t="s">
        <v>72</v>
      </c>
      <c r="C54" s="203">
        <v>21563.342318059298</v>
      </c>
      <c r="D54" s="190">
        <v>0</v>
      </c>
      <c r="E54" s="191">
        <v>0</v>
      </c>
      <c r="F54" s="191">
        <v>0</v>
      </c>
      <c r="G54" s="221">
        <v>0</v>
      </c>
      <c r="H54" s="42">
        <f t="shared" si="14"/>
        <v>0</v>
      </c>
      <c r="I54" s="192">
        <f t="shared" si="11"/>
        <v>0</v>
      </c>
      <c r="J54" s="14">
        <f t="shared" si="12"/>
        <v>21563.342318059298</v>
      </c>
      <c r="K54" s="97">
        <v>0.3</v>
      </c>
      <c r="L54" s="95">
        <f t="shared" si="13"/>
        <v>0</v>
      </c>
    </row>
    <row r="55" spans="1:12" ht="20.399999999999999" customHeight="1" thickBot="1" x14ac:dyDescent="0.3">
      <c r="A55" s="15"/>
      <c r="B55" s="174" t="s">
        <v>73</v>
      </c>
      <c r="C55" s="27">
        <f t="shared" ref="C55:J55" si="15">SUM(C41:C54)</f>
        <v>359244.63611859834</v>
      </c>
      <c r="D55" s="176">
        <f t="shared" si="15"/>
        <v>84903.839592730728</v>
      </c>
      <c r="E55" s="176">
        <f t="shared" si="15"/>
        <v>42099.938879672904</v>
      </c>
      <c r="F55" s="177">
        <f>SUM(F41:F54)</f>
        <v>35411.215997431507</v>
      </c>
      <c r="G55" s="222">
        <f>SUM(G41:G54)</f>
        <v>35553.802089019453</v>
      </c>
      <c r="H55" s="177">
        <f>SUM(H41:H54)</f>
        <v>113064.95696612388</v>
      </c>
      <c r="I55" s="176">
        <f t="shared" si="15"/>
        <v>197968.79655885455</v>
      </c>
      <c r="J55" s="175">
        <f t="shared" si="15"/>
        <v>161275.83955974379</v>
      </c>
      <c r="K55" s="178">
        <f>(K41*I41)+(K42*I42)+(K49*I49)+(K53*I53)+(I43*K43)+(I44*K44)+(I45*K45)+(I46*K46)+(I47*K47)+(I48*K48)+(I50*K50)+(I51*K51)+(I52*K52)+(I54*K54)</f>
        <v>37686.455156991542</v>
      </c>
      <c r="L55" s="179">
        <f t="shared" si="13"/>
        <v>0.5510695961887615</v>
      </c>
    </row>
    <row r="56" spans="1:12" x14ac:dyDescent="0.25">
      <c r="A56" s="17"/>
      <c r="B56" s="16"/>
      <c r="C56" s="17"/>
      <c r="D56" s="109"/>
      <c r="E56" s="109"/>
      <c r="F56" s="81"/>
      <c r="G56" s="213"/>
      <c r="H56" s="81"/>
      <c r="I56" s="109"/>
      <c r="J56" s="16"/>
      <c r="K56" s="16"/>
      <c r="L56" s="16"/>
    </row>
    <row r="57" spans="1:12" ht="11.4" x14ac:dyDescent="0.25">
      <c r="A57" s="17"/>
      <c r="B57" s="46" t="s">
        <v>86</v>
      </c>
      <c r="C57" s="46" t="s">
        <v>88</v>
      </c>
      <c r="D57" s="115"/>
      <c r="E57" s="115" t="s">
        <v>84</v>
      </c>
      <c r="F57" s="76"/>
      <c r="G57" s="223"/>
      <c r="H57" s="76"/>
      <c r="I57" s="115"/>
      <c r="J57" s="46" t="s">
        <v>87</v>
      </c>
      <c r="K57" s="46" t="s">
        <v>101</v>
      </c>
      <c r="L57" s="48"/>
    </row>
    <row r="58" spans="1:12" ht="18" customHeight="1" x14ac:dyDescent="0.25">
      <c r="A58" s="23"/>
      <c r="B58" s="47" t="s">
        <v>74</v>
      </c>
      <c r="C58" s="43">
        <f t="shared" ref="C58:H58" si="16">C15+C20+C26+C30+C36+C39+C55</f>
        <v>794392.88409703504</v>
      </c>
      <c r="D58" s="129">
        <f t="shared" si="16"/>
        <v>162045.48832887973</v>
      </c>
      <c r="E58" s="130">
        <f t="shared" si="16"/>
        <v>94830.331058503274</v>
      </c>
      <c r="F58" s="130">
        <f t="shared" si="16"/>
        <v>95971.97478631066</v>
      </c>
      <c r="G58" s="210">
        <f>G15+G20+G26+G30+G36+G39+G55</f>
        <v>144256.99011635568</v>
      </c>
      <c r="H58" s="43">
        <f t="shared" si="16"/>
        <v>335059.29596116964</v>
      </c>
      <c r="I58" s="106">
        <f>+D58+H58</f>
        <v>497104.78429004934</v>
      </c>
      <c r="J58" s="13">
        <f>+C58-I58</f>
        <v>297288.0998069857</v>
      </c>
      <c r="K58" s="52">
        <f>K15+K20+K26+K30+K36+K39+K55</f>
        <v>113295.44505012923</v>
      </c>
      <c r="L58" s="98">
        <f>I58/C58</f>
        <v>0.62576691488758107</v>
      </c>
    </row>
    <row r="59" spans="1:12" ht="18" customHeight="1" x14ac:dyDescent="0.25">
      <c r="A59" s="23"/>
      <c r="B59" s="47" t="s">
        <v>75</v>
      </c>
      <c r="C59" s="43">
        <f t="shared" ref="C59:H59" si="17">C58*7%</f>
        <v>55607.501886792459</v>
      </c>
      <c r="D59" s="129">
        <f t="shared" si="17"/>
        <v>11343.184183021582</v>
      </c>
      <c r="E59" s="172">
        <f t="shared" si="17"/>
        <v>6638.1231740952298</v>
      </c>
      <c r="F59" s="172">
        <f t="shared" si="17"/>
        <v>6718.0382350417467</v>
      </c>
      <c r="G59" s="218">
        <f>G58*7%</f>
        <v>10097.989308144899</v>
      </c>
      <c r="H59" s="43">
        <f t="shared" si="17"/>
        <v>23454.150717281878</v>
      </c>
      <c r="I59" s="106">
        <f>+D59+H59</f>
        <v>34797.33490030346</v>
      </c>
      <c r="J59" s="13">
        <f>+C59-I59</f>
        <v>20810.166986488999</v>
      </c>
      <c r="K59" s="43">
        <f>K58*7%</f>
        <v>7930.6811535090465</v>
      </c>
      <c r="L59" s="98">
        <f>I59/C59</f>
        <v>0.62576691488758107</v>
      </c>
    </row>
    <row r="60" spans="1:12" ht="11.4" x14ac:dyDescent="0.25">
      <c r="A60" s="23"/>
      <c r="B60" s="49" t="s">
        <v>76</v>
      </c>
      <c r="C60" s="202">
        <f t="shared" ref="C60:K60" si="18">SUM(C58:C59)</f>
        <v>850000.38598382752</v>
      </c>
      <c r="D60" s="202">
        <f t="shared" si="18"/>
        <v>173388.6725119013</v>
      </c>
      <c r="E60" s="101">
        <f t="shared" si="18"/>
        <v>101468.45423259851</v>
      </c>
      <c r="F60" s="84">
        <f>SUM(F58:F59)</f>
        <v>102690.01302135241</v>
      </c>
      <c r="G60" s="84">
        <f>SUM(G58:G59)</f>
        <v>154354.97942450058</v>
      </c>
      <c r="H60" s="201">
        <f>SUM(H58:H59)</f>
        <v>358513.4466784515</v>
      </c>
      <c r="I60" s="202">
        <f t="shared" si="18"/>
        <v>531902.11919035285</v>
      </c>
      <c r="J60" s="202">
        <f t="shared" si="18"/>
        <v>318098.26679347467</v>
      </c>
      <c r="K60" s="101">
        <f t="shared" si="18"/>
        <v>121226.12620363828</v>
      </c>
      <c r="L60" s="99">
        <f>I60/C60</f>
        <v>0.62576691488758107</v>
      </c>
    </row>
    <row r="62" spans="1:12" x14ac:dyDescent="0.25">
      <c r="J62" s="204"/>
      <c r="K62" s="205"/>
    </row>
  </sheetData>
  <mergeCells count="7">
    <mergeCell ref="A53:A54"/>
    <mergeCell ref="B1:I1"/>
    <mergeCell ref="B2:I2"/>
    <mergeCell ref="B3:I3"/>
    <mergeCell ref="B4:I4"/>
    <mergeCell ref="B5:I5"/>
    <mergeCell ref="A42:A48"/>
  </mergeCells>
  <pageMargins left="0.5" right="0.54166666666666663" top="0.57166666666666666" bottom="0.75" header="0.3" footer="0.3"/>
  <pageSetup paperSize="9" scale="98" orientation="landscape" horizontalDpi="0" verticalDpi="0" r:id="rId1"/>
  <rowBreaks count="1" manualBreakCount="1">
    <brk id="40" max="11" man="1"/>
  </rowBreaks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27"/>
  <sheetViews>
    <sheetView topLeftCell="A22" workbookViewId="0">
      <selection activeCell="I50" sqref="I50"/>
    </sheetView>
  </sheetViews>
  <sheetFormatPr baseColWidth="10" defaultRowHeight="14.4" x14ac:dyDescent="0.3"/>
  <cols>
    <col min="1" max="1" width="4.6640625" style="148" customWidth="1"/>
    <col min="2" max="2" width="57.6640625" customWidth="1"/>
    <col min="3" max="3" width="2.21875" hidden="1" customWidth="1"/>
    <col min="4" max="4" width="8.44140625" hidden="1" customWidth="1"/>
    <col min="5" max="5" width="14.21875" hidden="1" customWidth="1"/>
    <col min="6" max="6" width="11.21875" hidden="1" customWidth="1"/>
    <col min="7" max="7" width="1.88671875" hidden="1" customWidth="1"/>
    <col min="8" max="8" width="22.21875" customWidth="1"/>
    <col min="9" max="9" width="10.33203125" bestFit="1" customWidth="1"/>
  </cols>
  <sheetData>
    <row r="1" spans="1:9" x14ac:dyDescent="0.3">
      <c r="A1" s="256" t="s">
        <v>131</v>
      </c>
      <c r="B1" s="257"/>
      <c r="C1" s="257"/>
      <c r="D1" s="257"/>
      <c r="E1" s="257"/>
      <c r="F1" s="257"/>
      <c r="G1" s="257"/>
      <c r="H1" s="258"/>
    </row>
    <row r="2" spans="1:9" x14ac:dyDescent="0.3">
      <c r="I2" s="7">
        <v>9461.3367999999991</v>
      </c>
    </row>
    <row r="3" spans="1:9" x14ac:dyDescent="0.3">
      <c r="A3" s="135" t="s">
        <v>132</v>
      </c>
      <c r="B3" s="135" t="s">
        <v>133</v>
      </c>
      <c r="C3" s="136"/>
      <c r="D3" s="137" t="s">
        <v>134</v>
      </c>
      <c r="E3" s="137" t="s">
        <v>135</v>
      </c>
      <c r="F3" s="137" t="s">
        <v>136</v>
      </c>
      <c r="H3" s="137" t="s">
        <v>137</v>
      </c>
      <c r="I3" s="137" t="s">
        <v>137</v>
      </c>
    </row>
    <row r="4" spans="1:9" x14ac:dyDescent="0.3">
      <c r="A4" s="138"/>
      <c r="B4" s="139" t="s">
        <v>138</v>
      </c>
      <c r="C4" s="140"/>
      <c r="D4" s="141"/>
      <c r="E4" s="141"/>
      <c r="F4" s="141"/>
      <c r="H4" s="141">
        <f>SUM(H5:H10)</f>
        <v>87450000</v>
      </c>
      <c r="I4" s="141">
        <f>SUM(I5:I10)</f>
        <v>9242.8799279188552</v>
      </c>
    </row>
    <row r="5" spans="1:9" x14ac:dyDescent="0.3">
      <c r="A5" s="142">
        <v>1</v>
      </c>
      <c r="B5" s="143" t="s">
        <v>125</v>
      </c>
      <c r="C5" s="144"/>
      <c r="D5" s="145">
        <v>1</v>
      </c>
      <c r="E5" s="145">
        <v>6000000</v>
      </c>
      <c r="F5" s="145">
        <v>3</v>
      </c>
      <c r="H5" s="146">
        <f t="shared" ref="H5:H10" si="0">+D5*E5*F5</f>
        <v>18000000</v>
      </c>
      <c r="I5" s="146">
        <f t="shared" ref="I5:I10" si="1">H5/$I$2</f>
        <v>1902.4795734995928</v>
      </c>
    </row>
    <row r="6" spans="1:9" x14ac:dyDescent="0.3">
      <c r="A6" s="142">
        <v>2</v>
      </c>
      <c r="B6" s="143" t="s">
        <v>126</v>
      </c>
      <c r="C6" s="144"/>
      <c r="D6" s="145">
        <v>1</v>
      </c>
      <c r="E6" s="145">
        <v>3500000</v>
      </c>
      <c r="F6" s="145">
        <v>3</v>
      </c>
      <c r="H6" s="146">
        <f t="shared" si="0"/>
        <v>10500000</v>
      </c>
      <c r="I6" s="146">
        <f t="shared" si="1"/>
        <v>1109.7797512080958</v>
      </c>
    </row>
    <row r="7" spans="1:9" x14ac:dyDescent="0.3">
      <c r="A7" s="142">
        <v>3</v>
      </c>
      <c r="B7" s="143" t="s">
        <v>139</v>
      </c>
      <c r="C7" s="144"/>
      <c r="D7" s="147">
        <v>1</v>
      </c>
      <c r="E7" s="145">
        <v>3500000</v>
      </c>
      <c r="F7" s="145">
        <v>3</v>
      </c>
      <c r="H7" s="146">
        <f t="shared" si="0"/>
        <v>10500000</v>
      </c>
      <c r="I7" s="146">
        <f t="shared" si="1"/>
        <v>1109.7797512080958</v>
      </c>
    </row>
    <row r="8" spans="1:9" x14ac:dyDescent="0.3">
      <c r="A8" s="142">
        <v>4</v>
      </c>
      <c r="B8" s="143" t="s">
        <v>140</v>
      </c>
      <c r="C8" s="144"/>
      <c r="D8" s="145">
        <v>1</v>
      </c>
      <c r="E8" s="145">
        <v>4000000</v>
      </c>
      <c r="F8" s="145">
        <v>3</v>
      </c>
      <c r="H8" s="146">
        <f t="shared" si="0"/>
        <v>12000000</v>
      </c>
      <c r="I8" s="146">
        <f t="shared" si="1"/>
        <v>1268.3197156663953</v>
      </c>
    </row>
    <row r="9" spans="1:9" x14ac:dyDescent="0.3">
      <c r="A9" s="142">
        <v>5</v>
      </c>
      <c r="B9" s="143" t="s">
        <v>141</v>
      </c>
      <c r="C9" s="144"/>
      <c r="D9" s="145">
        <v>3</v>
      </c>
      <c r="E9" s="145">
        <v>3000000</v>
      </c>
      <c r="F9" s="145">
        <v>3</v>
      </c>
      <c r="H9" s="146">
        <f t="shared" si="0"/>
        <v>27000000</v>
      </c>
      <c r="I9" s="146">
        <f t="shared" si="1"/>
        <v>2853.719360249389</v>
      </c>
    </row>
    <row r="10" spans="1:9" x14ac:dyDescent="0.3">
      <c r="A10" s="142">
        <v>6</v>
      </c>
      <c r="B10" s="143" t="s">
        <v>127</v>
      </c>
      <c r="C10" s="144"/>
      <c r="D10" s="145">
        <v>1</v>
      </c>
      <c r="E10" s="145">
        <v>3150000</v>
      </c>
      <c r="F10" s="145">
        <v>3</v>
      </c>
      <c r="H10" s="146">
        <f t="shared" si="0"/>
        <v>9450000</v>
      </c>
      <c r="I10" s="146">
        <f t="shared" si="1"/>
        <v>998.80177608728616</v>
      </c>
    </row>
    <row r="11" spans="1:9" x14ac:dyDescent="0.3">
      <c r="C11" s="149"/>
      <c r="E11" s="150"/>
      <c r="H11" s="150"/>
      <c r="I11" s="150"/>
    </row>
    <row r="12" spans="1:9" x14ac:dyDescent="0.3">
      <c r="A12" s="138"/>
      <c r="B12" s="139" t="s">
        <v>142</v>
      </c>
      <c r="C12" s="140"/>
      <c r="D12" s="141"/>
      <c r="E12" s="141"/>
      <c r="F12" s="141"/>
      <c r="H12" s="141">
        <f>+H13+H19</f>
        <v>39600000</v>
      </c>
      <c r="I12" s="141">
        <f>+I13+I19</f>
        <v>4185.4550616991037</v>
      </c>
    </row>
    <row r="13" spans="1:9" x14ac:dyDescent="0.3">
      <c r="A13" s="151"/>
      <c r="B13" s="152" t="s">
        <v>143</v>
      </c>
      <c r="C13" s="144"/>
      <c r="D13" s="153"/>
      <c r="E13" s="153"/>
      <c r="F13" s="153"/>
      <c r="H13" s="146">
        <f>SUM(H14:H18)</f>
        <v>15000000</v>
      </c>
      <c r="I13" s="146">
        <f t="shared" ref="I13:I18" si="2">H13/$I$2</f>
        <v>1585.3996445829939</v>
      </c>
    </row>
    <row r="14" spans="1:9" x14ac:dyDescent="0.3">
      <c r="A14" s="142"/>
      <c r="B14" s="143" t="s">
        <v>144</v>
      </c>
      <c r="C14" s="144"/>
      <c r="D14" s="147">
        <v>1</v>
      </c>
      <c r="E14" s="145">
        <v>2500000</v>
      </c>
      <c r="F14" s="145">
        <v>3</v>
      </c>
      <c r="H14" s="146">
        <f t="shared" ref="H14:H21" si="3">+D14*E14*F14</f>
        <v>7500000</v>
      </c>
      <c r="I14" s="146">
        <f t="shared" si="2"/>
        <v>792.69982229149696</v>
      </c>
    </row>
    <row r="15" spans="1:9" x14ac:dyDescent="0.3">
      <c r="A15" s="142"/>
      <c r="B15" s="143" t="s">
        <v>128</v>
      </c>
      <c r="C15" s="144"/>
      <c r="D15" s="147">
        <v>1</v>
      </c>
      <c r="E15" s="145">
        <v>1000000</v>
      </c>
      <c r="F15" s="145">
        <v>3</v>
      </c>
      <c r="H15" s="146">
        <f t="shared" si="3"/>
        <v>3000000</v>
      </c>
      <c r="I15" s="146">
        <f t="shared" si="2"/>
        <v>317.07992891659882</v>
      </c>
    </row>
    <row r="16" spans="1:9" x14ac:dyDescent="0.3">
      <c r="A16" s="142"/>
      <c r="B16" s="143" t="s">
        <v>145</v>
      </c>
      <c r="C16" s="144"/>
      <c r="D16" s="147">
        <v>1</v>
      </c>
      <c r="E16" s="145">
        <v>800000</v>
      </c>
      <c r="F16" s="145">
        <v>3</v>
      </c>
      <c r="H16" s="146">
        <f t="shared" si="3"/>
        <v>2400000</v>
      </c>
      <c r="I16" s="146">
        <f t="shared" si="2"/>
        <v>253.66394313327902</v>
      </c>
    </row>
    <row r="17" spans="1:9" x14ac:dyDescent="0.3">
      <c r="A17" s="142"/>
      <c r="B17" s="143" t="s">
        <v>146</v>
      </c>
      <c r="C17" s="144"/>
      <c r="D17" s="147">
        <v>1</v>
      </c>
      <c r="E17" s="145">
        <v>500000</v>
      </c>
      <c r="F17" s="145">
        <v>3</v>
      </c>
      <c r="H17" s="146">
        <f t="shared" si="3"/>
        <v>1500000</v>
      </c>
      <c r="I17" s="146">
        <f t="shared" si="2"/>
        <v>158.53996445829941</v>
      </c>
    </row>
    <row r="18" spans="1:9" x14ac:dyDescent="0.3">
      <c r="A18" s="142"/>
      <c r="B18" s="143" t="s">
        <v>81</v>
      </c>
      <c r="C18" s="144"/>
      <c r="D18" s="147">
        <v>1</v>
      </c>
      <c r="E18" s="145">
        <v>200000</v>
      </c>
      <c r="F18" s="145">
        <v>3</v>
      </c>
      <c r="H18" s="146">
        <f t="shared" si="3"/>
        <v>600000</v>
      </c>
      <c r="I18" s="146">
        <f t="shared" si="2"/>
        <v>63.415985783319755</v>
      </c>
    </row>
    <row r="19" spans="1:9" x14ac:dyDescent="0.3">
      <c r="A19" s="151"/>
      <c r="B19" s="152" t="s">
        <v>147</v>
      </c>
      <c r="C19" s="144"/>
      <c r="D19" s="153"/>
      <c r="E19" s="153"/>
      <c r="F19" s="153"/>
      <c r="H19" s="146">
        <f>SUM(H20:H21)</f>
        <v>24600000</v>
      </c>
      <c r="I19" s="146">
        <f>SUM(I20:I21)</f>
        <v>2600.0554171161102</v>
      </c>
    </row>
    <row r="20" spans="1:9" x14ac:dyDescent="0.3">
      <c r="A20" s="142"/>
      <c r="B20" s="143" t="s">
        <v>129</v>
      </c>
      <c r="C20" s="144"/>
      <c r="D20" s="147">
        <v>8</v>
      </c>
      <c r="E20" s="145">
        <v>800000</v>
      </c>
      <c r="F20" s="145">
        <v>3</v>
      </c>
      <c r="H20" s="146">
        <f t="shared" si="3"/>
        <v>19200000</v>
      </c>
      <c r="I20" s="146">
        <f>H20/$I$2</f>
        <v>2029.3115450662322</v>
      </c>
    </row>
    <row r="21" spans="1:9" x14ac:dyDescent="0.3">
      <c r="A21" s="142"/>
      <c r="B21" s="143" t="s">
        <v>80</v>
      </c>
      <c r="C21" s="144"/>
      <c r="D21" s="147">
        <v>180</v>
      </c>
      <c r="E21" s="145">
        <v>10000</v>
      </c>
      <c r="F21" s="145">
        <v>3</v>
      </c>
      <c r="H21" s="146">
        <f t="shared" si="3"/>
        <v>5400000</v>
      </c>
      <c r="I21" s="146">
        <f>H21/$I$2</f>
        <v>570.74387204987784</v>
      </c>
    </row>
    <row r="22" spans="1:9" x14ac:dyDescent="0.3">
      <c r="C22" s="149"/>
      <c r="E22" s="150"/>
      <c r="H22" s="150"/>
      <c r="I22" s="150"/>
    </row>
    <row r="23" spans="1:9" x14ac:dyDescent="0.3">
      <c r="A23" s="138"/>
      <c r="B23" s="139" t="s">
        <v>124</v>
      </c>
      <c r="C23" s="140"/>
      <c r="D23" s="141"/>
      <c r="E23" s="141"/>
      <c r="F23" s="141"/>
      <c r="H23" s="141">
        <f>SUM(H24:H25)</f>
        <v>262900000</v>
      </c>
      <c r="I23" s="141">
        <f>SUM(I24:I25)</f>
        <v>27786.771104057942</v>
      </c>
    </row>
    <row r="24" spans="1:9" ht="26.4" x14ac:dyDescent="0.3">
      <c r="A24" s="142"/>
      <c r="B24" s="154" t="s">
        <v>148</v>
      </c>
      <c r="C24" s="144"/>
      <c r="D24" s="147">
        <v>1</v>
      </c>
      <c r="E24" s="145">
        <v>86200000</v>
      </c>
      <c r="F24" s="145">
        <v>1</v>
      </c>
      <c r="H24" s="146">
        <f>+D24*E24*F24</f>
        <v>86200000</v>
      </c>
      <c r="I24" s="146">
        <f>H24/$I$2</f>
        <v>9110.7632908702726</v>
      </c>
    </row>
    <row r="25" spans="1:9" x14ac:dyDescent="0.3">
      <c r="A25" s="142"/>
      <c r="B25" s="154" t="s">
        <v>149</v>
      </c>
      <c r="C25" s="144"/>
      <c r="D25" s="147">
        <v>1</v>
      </c>
      <c r="E25" s="145">
        <v>176700000</v>
      </c>
      <c r="F25" s="145">
        <v>1</v>
      </c>
      <c r="H25" s="146">
        <f>+D25*E25*F25</f>
        <v>176700000</v>
      </c>
      <c r="I25" s="146">
        <f>H25/$I$2</f>
        <v>18676.007813187669</v>
      </c>
    </row>
    <row r="27" spans="1:9" x14ac:dyDescent="0.3">
      <c r="A27" s="155"/>
      <c r="B27" s="155" t="s">
        <v>150</v>
      </c>
      <c r="D27" s="155">
        <f>+D23+D12+D4</f>
        <v>0</v>
      </c>
      <c r="E27" s="155">
        <f>+E23+E12+E4</f>
        <v>0</v>
      </c>
      <c r="F27" s="155">
        <f>+F23+F12+F4</f>
        <v>0</v>
      </c>
      <c r="H27" s="155">
        <f>+H23+H12+H4</f>
        <v>389950000</v>
      </c>
      <c r="I27" s="155">
        <f>+I23+I12+I4</f>
        <v>41215.106093675902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5:D14"/>
  <sheetViews>
    <sheetView workbookViewId="0">
      <selection activeCell="B19" sqref="B19"/>
    </sheetView>
  </sheetViews>
  <sheetFormatPr baseColWidth="10" defaultRowHeight="14.4" x14ac:dyDescent="0.3"/>
  <cols>
    <col min="1" max="1" width="58.109375" customWidth="1"/>
    <col min="2" max="2" width="13.6640625" style="7" customWidth="1"/>
    <col min="3" max="3" width="13.6640625" style="4" customWidth="1"/>
    <col min="4" max="4" width="4.44140625" style="4" bestFit="1" customWidth="1"/>
  </cols>
  <sheetData>
    <row r="5" spans="1:4" ht="19.8" customHeight="1" x14ac:dyDescent="0.3">
      <c r="A5" s="1" t="s">
        <v>82</v>
      </c>
      <c r="B5" s="5" t="s">
        <v>83</v>
      </c>
      <c r="C5" s="3" t="s">
        <v>84</v>
      </c>
      <c r="D5" s="3" t="s">
        <v>85</v>
      </c>
    </row>
    <row r="6" spans="1:4" x14ac:dyDescent="0.3">
      <c r="A6" s="2" t="e">
        <f>+#REF!</f>
        <v>#REF!</v>
      </c>
      <c r="B6" s="6" t="e">
        <f>+#REF!</f>
        <v>#REF!</v>
      </c>
      <c r="C6" s="6" t="e">
        <f>+#REF!</f>
        <v>#REF!</v>
      </c>
      <c r="D6" s="8" t="e">
        <f>+C6/B6</f>
        <v>#REF!</v>
      </c>
    </row>
    <row r="7" spans="1:4" x14ac:dyDescent="0.3">
      <c r="A7" s="2" t="e">
        <f>+#REF!</f>
        <v>#REF!</v>
      </c>
      <c r="B7" s="6" t="e">
        <f>+#REF!</f>
        <v>#REF!</v>
      </c>
      <c r="C7" s="6" t="e">
        <f>+#REF!</f>
        <v>#REF!</v>
      </c>
      <c r="D7" s="8" t="e">
        <f t="shared" ref="D7:D14" si="0">+C7/B7</f>
        <v>#REF!</v>
      </c>
    </row>
    <row r="8" spans="1:4" x14ac:dyDescent="0.3">
      <c r="A8" s="2" t="e">
        <f>+#REF!</f>
        <v>#REF!</v>
      </c>
      <c r="B8" s="6" t="e">
        <f>+#REF!</f>
        <v>#REF!</v>
      </c>
      <c r="C8" s="6" t="e">
        <f>+#REF!</f>
        <v>#REF!</v>
      </c>
      <c r="D8" s="8" t="e">
        <f t="shared" si="0"/>
        <v>#REF!</v>
      </c>
    </row>
    <row r="9" spans="1:4" x14ac:dyDescent="0.3">
      <c r="A9" s="2" t="e">
        <f>+#REF!</f>
        <v>#REF!</v>
      </c>
      <c r="B9" s="6" t="e">
        <f>+#REF!</f>
        <v>#REF!</v>
      </c>
      <c r="C9" s="6" t="e">
        <f>+#REF!</f>
        <v>#REF!</v>
      </c>
      <c r="D9" s="8" t="e">
        <f t="shared" si="0"/>
        <v>#REF!</v>
      </c>
    </row>
    <row r="10" spans="1:4" x14ac:dyDescent="0.3">
      <c r="A10" s="2" t="e">
        <f>+#REF!</f>
        <v>#REF!</v>
      </c>
      <c r="B10" s="6" t="e">
        <f>+#REF!</f>
        <v>#REF!</v>
      </c>
      <c r="C10" s="6" t="e">
        <f>+#REF!</f>
        <v>#REF!</v>
      </c>
      <c r="D10" s="8" t="e">
        <f t="shared" si="0"/>
        <v>#REF!</v>
      </c>
    </row>
    <row r="11" spans="1:4" x14ac:dyDescent="0.3">
      <c r="A11" s="2" t="e">
        <f>+#REF!</f>
        <v>#REF!</v>
      </c>
      <c r="B11" s="6" t="e">
        <f>+#REF!</f>
        <v>#REF!</v>
      </c>
      <c r="C11" s="6" t="e">
        <f>+#REF!</f>
        <v>#REF!</v>
      </c>
      <c r="D11" s="8" t="e">
        <f t="shared" si="0"/>
        <v>#REF!</v>
      </c>
    </row>
    <row r="12" spans="1:4" x14ac:dyDescent="0.3">
      <c r="A12" s="2" t="e">
        <f>+#REF!</f>
        <v>#REF!</v>
      </c>
      <c r="B12" s="6" t="e">
        <f>+#REF!</f>
        <v>#REF!</v>
      </c>
      <c r="C12" s="6" t="e">
        <f>+#REF!</f>
        <v>#REF!</v>
      </c>
      <c r="D12" s="8" t="e">
        <f t="shared" si="0"/>
        <v>#REF!</v>
      </c>
    </row>
    <row r="13" spans="1:4" x14ac:dyDescent="0.3">
      <c r="A13" s="2" t="e">
        <f>+#REF!</f>
        <v>#REF!</v>
      </c>
      <c r="B13" s="6" t="e">
        <f>+#REF!</f>
        <v>#REF!</v>
      </c>
      <c r="C13" s="6" t="e">
        <f>+#REF!</f>
        <v>#REF!</v>
      </c>
      <c r="D13" s="8" t="e">
        <f t="shared" si="0"/>
        <v>#REF!</v>
      </c>
    </row>
    <row r="14" spans="1:4" x14ac:dyDescent="0.3">
      <c r="A14" s="2" t="e">
        <f>+#REF!</f>
        <v>#REF!</v>
      </c>
      <c r="B14" s="6" t="e">
        <f>SUM(B6:B13)</f>
        <v>#REF!</v>
      </c>
      <c r="C14" s="6" t="e">
        <f>SUM(C6:C13)</f>
        <v>#REF!</v>
      </c>
      <c r="D14" s="8" t="e">
        <f t="shared" si="0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Categorie Budgetaire</vt:lpstr>
      <vt:lpstr>SUIVI BUDGETAIRE VF</vt:lpstr>
      <vt:lpstr>AEA</vt:lpstr>
      <vt:lpstr>DASHBOARD</vt:lpstr>
      <vt:lpstr>'SUIVI BUDGETAIRE VF'!Zone_d_impression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TRAORE</dc:creator>
  <cp:lastModifiedBy>TRAORE</cp:lastModifiedBy>
  <cp:lastPrinted>2021-10-26T15:27:42Z</cp:lastPrinted>
  <dcterms:created xsi:type="dcterms:W3CDTF">2020-09-23T17:01:00Z</dcterms:created>
  <dcterms:modified xsi:type="dcterms:W3CDTF">2021-10-26T16:13:45Z</dcterms:modified>
</cp:coreProperties>
</file>