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filterPrivacy="1"/>
  <xr:revisionPtr revIDLastSave="0" documentId="8_{446FE20B-B52D-48BA-8CF0-534EA50B98B8}" xr6:coauthVersionLast="45" xr6:coauthVersionMax="45" xr10:uidLastSave="{00000000-0000-0000-0000-000000000000}"/>
  <bookViews>
    <workbookView xWindow="-110" yWindow="-110" windowWidth="19420" windowHeight="10420" tabRatio="834" xr2:uid="{00000000-000D-0000-FFFF-FFFF00000000}"/>
  </bookViews>
  <sheets>
    <sheet name="PAR CATEGORIE BUDGETAIRE TAXI" sheetId="3" r:id="rId1"/>
    <sheet name="PAR RESULTAT TAXI-MOTO 14-06-21" sheetId="4" r:id="rId2"/>
  </sheets>
  <definedNames>
    <definedName name="_xlnm._FilterDatabase" localSheetId="1" hidden="1">'PAR RESULTAT TAXI-MOTO 14-06-21'!$A$3:$Q$56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0" i="3" l="1"/>
  <c r="E30" i="3"/>
  <c r="C30" i="3"/>
  <c r="E53" i="4"/>
  <c r="F53" i="4"/>
  <c r="G53" i="4"/>
  <c r="H53" i="4"/>
  <c r="I53" i="4"/>
  <c r="J53" i="4"/>
  <c r="K53" i="4"/>
  <c r="D53" i="4"/>
  <c r="C53" i="4"/>
  <c r="D24" i="3" l="1"/>
  <c r="D25" i="3"/>
  <c r="E25" i="3" l="1"/>
  <c r="E29" i="3" s="1"/>
  <c r="D22" i="3"/>
  <c r="H22" i="3" s="1"/>
  <c r="D46" i="4"/>
  <c r="C14" i="4"/>
  <c r="K26" i="4"/>
  <c r="H13" i="3"/>
  <c r="H11" i="3"/>
  <c r="H10" i="3"/>
  <c r="H9" i="3"/>
  <c r="H8" i="3"/>
  <c r="G13" i="3"/>
  <c r="G11" i="3"/>
  <c r="G10" i="3"/>
  <c r="G9" i="3"/>
  <c r="G8" i="3"/>
  <c r="G14" i="3" s="1"/>
  <c r="G15" i="3" s="1"/>
  <c r="J10" i="4"/>
  <c r="K50" i="4"/>
  <c r="C42" i="4"/>
  <c r="K43" i="4"/>
  <c r="E7" i="3"/>
  <c r="C8" i="3"/>
  <c r="C9" i="3"/>
  <c r="C10" i="3"/>
  <c r="E8" i="3"/>
  <c r="E9" i="3"/>
  <c r="E10" i="3"/>
  <c r="E11" i="3"/>
  <c r="F7" i="3"/>
  <c r="H27" i="3"/>
  <c r="M64" i="4"/>
  <c r="G64" i="4"/>
  <c r="O27" i="4"/>
  <c r="O26" i="4"/>
  <c r="O21" i="4"/>
  <c r="O19" i="4"/>
  <c r="O12" i="4"/>
  <c r="O11" i="4"/>
  <c r="O9" i="4"/>
  <c r="O10" i="4" s="1"/>
  <c r="O8" i="4"/>
  <c r="O7" i="4"/>
  <c r="O6" i="4"/>
  <c r="O44" i="4"/>
  <c r="O43" i="4"/>
  <c r="O41" i="4"/>
  <c r="O40" i="4"/>
  <c r="O34" i="4"/>
  <c r="O37" i="4" s="1"/>
  <c r="O33" i="4"/>
  <c r="O31" i="4"/>
  <c r="O30" i="4"/>
  <c r="O29" i="4"/>
  <c r="O28" i="4"/>
  <c r="O22" i="4"/>
  <c r="O20" i="4"/>
  <c r="O16" i="4"/>
  <c r="O15" i="4"/>
  <c r="O14" i="4"/>
  <c r="O13" i="4"/>
  <c r="D28" i="3"/>
  <c r="D26" i="3"/>
  <c r="D23" i="3"/>
  <c r="C28" i="3"/>
  <c r="C26" i="3"/>
  <c r="C25" i="3"/>
  <c r="C24" i="3"/>
  <c r="C23" i="3"/>
  <c r="H51" i="4"/>
  <c r="D51" i="4"/>
  <c r="K42" i="4"/>
  <c r="K15" i="4"/>
  <c r="K34" i="4"/>
  <c r="K35" i="4"/>
  <c r="K36" i="4"/>
  <c r="K19" i="4"/>
  <c r="K20" i="4"/>
  <c r="K21" i="4"/>
  <c r="K22" i="4"/>
  <c r="N22" i="4" s="1"/>
  <c r="K12" i="4"/>
  <c r="K13" i="4"/>
  <c r="K14" i="4"/>
  <c r="K16" i="4"/>
  <c r="K7" i="4"/>
  <c r="K8" i="4"/>
  <c r="K9" i="4"/>
  <c r="C43" i="4"/>
  <c r="E51" i="4"/>
  <c r="F51" i="4"/>
  <c r="D45" i="4"/>
  <c r="C46" i="4"/>
  <c r="C47" i="4" s="1"/>
  <c r="C34" i="4"/>
  <c r="C35" i="4"/>
  <c r="C27" i="4"/>
  <c r="C28" i="4"/>
  <c r="C29" i="4"/>
  <c r="C30" i="4"/>
  <c r="C31" i="4"/>
  <c r="C19" i="4"/>
  <c r="N19" i="4" s="1"/>
  <c r="C20" i="4"/>
  <c r="C21" i="4"/>
  <c r="M10" i="4"/>
  <c r="M17" i="4"/>
  <c r="M23" i="4"/>
  <c r="M32" i="4"/>
  <c r="M37" i="4"/>
  <c r="M45" i="4"/>
  <c r="M47" i="4"/>
  <c r="M51" i="4"/>
  <c r="K49" i="4"/>
  <c r="K48" i="4"/>
  <c r="E63" i="4"/>
  <c r="F63" i="4"/>
  <c r="F37" i="4"/>
  <c r="K46" i="4"/>
  <c r="K47" i="4" s="1"/>
  <c r="K41" i="4"/>
  <c r="K44" i="4"/>
  <c r="K40" i="4"/>
  <c r="K33" i="4"/>
  <c r="K30" i="4"/>
  <c r="K31" i="4"/>
  <c r="K18" i="4"/>
  <c r="K11" i="4"/>
  <c r="K6" i="4"/>
  <c r="H45" i="4"/>
  <c r="I51" i="4"/>
  <c r="I47" i="4"/>
  <c r="J47" i="4"/>
  <c r="H47" i="4"/>
  <c r="I45" i="4"/>
  <c r="J45" i="4"/>
  <c r="G45" i="4"/>
  <c r="I37" i="4"/>
  <c r="J37" i="4"/>
  <c r="H37" i="4"/>
  <c r="I32" i="4"/>
  <c r="J32" i="4"/>
  <c r="H32" i="4"/>
  <c r="I23" i="4"/>
  <c r="J23" i="4"/>
  <c r="H23" i="4"/>
  <c r="I17" i="4"/>
  <c r="J17" i="4"/>
  <c r="H17" i="4"/>
  <c r="I10" i="4"/>
  <c r="H10" i="4"/>
  <c r="G24" i="4"/>
  <c r="D17" i="4"/>
  <c r="E17" i="4"/>
  <c r="F17" i="4"/>
  <c r="C7" i="4"/>
  <c r="N7" i="4" s="1"/>
  <c r="D47" i="4"/>
  <c r="F32" i="4"/>
  <c r="E32" i="4"/>
  <c r="D32" i="4"/>
  <c r="C50" i="4"/>
  <c r="N50" i="4" s="1"/>
  <c r="C49" i="4"/>
  <c r="C48" i="4"/>
  <c r="E47" i="4"/>
  <c r="F47" i="4"/>
  <c r="E45" i="4"/>
  <c r="F45" i="4"/>
  <c r="C41" i="4"/>
  <c r="C44" i="4"/>
  <c r="C40" i="4"/>
  <c r="E37" i="4"/>
  <c r="E38" i="4" s="1"/>
  <c r="C36" i="4"/>
  <c r="C33" i="4"/>
  <c r="N30" i="4"/>
  <c r="C26" i="4"/>
  <c r="F23" i="4"/>
  <c r="E23" i="4"/>
  <c r="C18" i="4"/>
  <c r="C12" i="4"/>
  <c r="N12" i="4" s="1"/>
  <c r="C13" i="4"/>
  <c r="C15" i="4"/>
  <c r="N15" i="4" s="1"/>
  <c r="C16" i="4"/>
  <c r="C11" i="4"/>
  <c r="E10" i="4"/>
  <c r="F10" i="4"/>
  <c r="F14" i="3"/>
  <c r="F16" i="3"/>
  <c r="C8" i="4"/>
  <c r="C9" i="4"/>
  <c r="C6" i="4"/>
  <c r="L10" i="4"/>
  <c r="L17" i="4"/>
  <c r="L23" i="4"/>
  <c r="L32" i="4"/>
  <c r="L37" i="4"/>
  <c r="L45" i="4"/>
  <c r="L47" i="4"/>
  <c r="L51" i="4"/>
  <c r="G47" i="4"/>
  <c r="D37" i="4"/>
  <c r="D23" i="4"/>
  <c r="D10" i="4"/>
  <c r="G51" i="4"/>
  <c r="O47" i="4"/>
  <c r="O51" i="4"/>
  <c r="G31" i="3"/>
  <c r="B14" i="3"/>
  <c r="D14" i="3"/>
  <c r="D16" i="3" s="1"/>
  <c r="F31" i="3"/>
  <c r="I22" i="3"/>
  <c r="B29" i="3"/>
  <c r="B30" i="3" s="1"/>
  <c r="B31" i="3" s="1"/>
  <c r="J51" i="4"/>
  <c r="N41" i="4" l="1"/>
  <c r="H28" i="3"/>
  <c r="H14" i="3"/>
  <c r="N21" i="4"/>
  <c r="N6" i="4"/>
  <c r="H23" i="3"/>
  <c r="J38" i="4"/>
  <c r="M38" i="4"/>
  <c r="N9" i="4"/>
  <c r="L38" i="4"/>
  <c r="N33" i="4"/>
  <c r="N8" i="4"/>
  <c r="O45" i="4"/>
  <c r="L24" i="4"/>
  <c r="F38" i="4"/>
  <c r="N13" i="4"/>
  <c r="I24" i="4"/>
  <c r="K45" i="4"/>
  <c r="K51" i="4"/>
  <c r="M24" i="4"/>
  <c r="C14" i="3"/>
  <c r="C16" i="3" s="1"/>
  <c r="I23" i="3"/>
  <c r="N44" i="4"/>
  <c r="I28" i="3"/>
  <c r="F24" i="4"/>
  <c r="N18" i="4"/>
  <c r="H24" i="4"/>
  <c r="N31" i="4"/>
  <c r="O23" i="4"/>
  <c r="O17" i="4"/>
  <c r="E24" i="4"/>
  <c r="E39" i="4" s="1"/>
  <c r="E52" i="4" s="1"/>
  <c r="E54" i="4" s="1"/>
  <c r="C61" i="4" s="1"/>
  <c r="J24" i="4"/>
  <c r="K10" i="4"/>
  <c r="K23" i="4"/>
  <c r="C29" i="3"/>
  <c r="C31" i="3" s="1"/>
  <c r="I24" i="3"/>
  <c r="N40" i="4"/>
  <c r="C17" i="4"/>
  <c r="N11" i="4"/>
  <c r="K37" i="4"/>
  <c r="C37" i="4"/>
  <c r="N36" i="4"/>
  <c r="D29" i="3"/>
  <c r="N26" i="4"/>
  <c r="H15" i="3"/>
  <c r="B15" i="3" s="1"/>
  <c r="B16" i="3" s="1"/>
  <c r="H16" i="3"/>
  <c r="H30" i="3"/>
  <c r="D24" i="4"/>
  <c r="C10" i="4"/>
  <c r="G16" i="3"/>
  <c r="K17" i="4"/>
  <c r="H38" i="4"/>
  <c r="N46" i="4"/>
  <c r="I26" i="3"/>
  <c r="E31" i="3"/>
  <c r="D38" i="4"/>
  <c r="C23" i="4"/>
  <c r="I30" i="3"/>
  <c r="H25" i="3"/>
  <c r="N53" i="4"/>
  <c r="C51" i="4"/>
  <c r="N49" i="4"/>
  <c r="E14" i="3"/>
  <c r="E16" i="3" s="1"/>
  <c r="N48" i="4"/>
  <c r="N47" i="4"/>
  <c r="C45" i="4"/>
  <c r="N45" i="4" s="1"/>
  <c r="C32" i="4"/>
  <c r="H24" i="3"/>
  <c r="H26" i="3"/>
  <c r="I38" i="4"/>
  <c r="O32" i="4"/>
  <c r="O38" i="4" s="1"/>
  <c r="I25" i="3"/>
  <c r="K32" i="4"/>
  <c r="M39" i="4" l="1"/>
  <c r="M52" i="4" s="1"/>
  <c r="M54" i="4" s="1"/>
  <c r="J39" i="4"/>
  <c r="J52" i="4" s="1"/>
  <c r="J54" i="4" s="1"/>
  <c r="D62" i="4" s="1"/>
  <c r="G62" i="4" s="1"/>
  <c r="O24" i="4"/>
  <c r="O39" i="4" s="1"/>
  <c r="O52" i="4" s="1"/>
  <c r="O54" i="4" s="1"/>
  <c r="H39" i="4"/>
  <c r="H52" i="4" s="1"/>
  <c r="H54" i="4" s="1"/>
  <c r="D60" i="4" s="1"/>
  <c r="G60" i="4" s="1"/>
  <c r="O56" i="4"/>
  <c r="F39" i="4"/>
  <c r="F52" i="4" s="1"/>
  <c r="F54" i="4" s="1"/>
  <c r="C62" i="4" s="1"/>
  <c r="L62" i="4" s="1"/>
  <c r="I39" i="4"/>
  <c r="I52" i="4" s="1"/>
  <c r="I54" i="4" s="1"/>
  <c r="D61" i="4" s="1"/>
  <c r="G61" i="4" s="1"/>
  <c r="L39" i="4"/>
  <c r="L52" i="4" s="1"/>
  <c r="L54" i="4" s="1"/>
  <c r="K38" i="4"/>
  <c r="N23" i="4"/>
  <c r="K24" i="4"/>
  <c r="N51" i="4"/>
  <c r="N17" i="4"/>
  <c r="N37" i="4"/>
  <c r="C38" i="4"/>
  <c r="D39" i="4"/>
  <c r="D52" i="4" s="1"/>
  <c r="D54" i="4" s="1"/>
  <c r="C60" i="4" s="1"/>
  <c r="C24" i="4"/>
  <c r="N10" i="4"/>
  <c r="D31" i="3"/>
  <c r="H29" i="3"/>
  <c r="H31" i="3" s="1"/>
  <c r="I29" i="3"/>
  <c r="N32" i="4"/>
  <c r="L61" i="4" l="1"/>
  <c r="M62" i="4"/>
  <c r="C63" i="4"/>
  <c r="G63" i="4"/>
  <c r="M61" i="4"/>
  <c r="D63" i="4"/>
  <c r="N24" i="4"/>
  <c r="C39" i="4"/>
  <c r="C52" i="4"/>
  <c r="C54" i="4" s="1"/>
  <c r="M60" i="4"/>
  <c r="L60" i="4"/>
  <c r="N38" i="4"/>
  <c r="K39" i="4"/>
  <c r="I31" i="3"/>
  <c r="M63" i="4" l="1"/>
  <c r="L63" i="4"/>
  <c r="K52" i="4"/>
  <c r="N39" i="4"/>
  <c r="K54" i="4" l="1"/>
  <c r="N54" i="4" s="1"/>
  <c r="N52"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D13" authorId="0" shapeId="0" xr:uid="{00000000-0006-0000-0100-000001000000}">
      <text>
        <r>
          <rPr>
            <b/>
            <sz val="9"/>
            <color indexed="81"/>
            <rFont val="Tahoma"/>
            <family val="2"/>
          </rPr>
          <t>Auteur:</t>
        </r>
        <r>
          <rPr>
            <sz val="9"/>
            <color indexed="81"/>
            <rFont val="Tahoma"/>
            <family val="2"/>
          </rPr>
          <t xml:space="preserve">
10 000 pour 2020 et 10 000  pour 2021</t>
        </r>
      </text>
    </comment>
    <comment ref="D14" authorId="0" shapeId="0" xr:uid="{00000000-0006-0000-0100-000002000000}">
      <text>
        <r>
          <rPr>
            <b/>
            <sz val="9"/>
            <color indexed="81"/>
            <rFont val="Tahoma"/>
            <family val="2"/>
          </rPr>
          <t>Auteur:</t>
        </r>
        <r>
          <rPr>
            <sz val="9"/>
            <color indexed="81"/>
            <rFont val="Tahoma"/>
            <family val="2"/>
          </rPr>
          <t xml:space="preserve">
10 000 pour 2020 et 10 000  pour 2021</t>
        </r>
      </text>
    </comment>
  </commentList>
</comments>
</file>

<file path=xl/sharedStrings.xml><?xml version="1.0" encoding="utf-8"?>
<sst xmlns="http://schemas.openxmlformats.org/spreadsheetml/2006/main" count="166" uniqueCount="138">
  <si>
    <t>Table 1 - PBF project budget by Outcome, output and activity</t>
  </si>
  <si>
    <t>Nombre de resultat / produit</t>
  </si>
  <si>
    <t>Formulation du resultat/ produit/ activite</t>
  </si>
  <si>
    <t xml:space="preserve">Pourcentage du budget pour chaque produit ou activite reserve pour action directe sur le genre (cas echeant) </t>
  </si>
  <si>
    <t>Commitment /po</t>
  </si>
  <si>
    <t xml:space="preserve">Avance </t>
  </si>
  <si>
    <t>Taux de Réalisation par ligne budgetaire</t>
  </si>
  <si>
    <t>SOUS TOTAL RESULTAT 1:</t>
  </si>
  <si>
    <t>Frais du personnel du projet</t>
  </si>
  <si>
    <t>Sous Total le Cout du Personnel du projet:</t>
  </si>
  <si>
    <t>Frais généraux de fonctionnement</t>
  </si>
  <si>
    <t>Founitures et consommables de bureau</t>
  </si>
  <si>
    <t>Sous Total Frais généraux</t>
  </si>
  <si>
    <t xml:space="preserve">Indirect support costs (7%):                                                                            </t>
  </si>
  <si>
    <t xml:space="preserve">TOTAL PROJECT BUDGET:           </t>
  </si>
  <si>
    <t>RECAP Delivery par Agence par Agence</t>
  </si>
  <si>
    <t>Budget par agence recipiendiaire en USD</t>
  </si>
  <si>
    <t>Montant budget</t>
  </si>
  <si>
    <t>Dépenses</t>
  </si>
  <si>
    <t>Avance non Justifiée</t>
  </si>
  <si>
    <t>Solde</t>
  </si>
  <si>
    <t>%Tage de Réalisation</t>
  </si>
  <si>
    <t xml:space="preserve">Commentaire sur les dépenses / activités </t>
  </si>
  <si>
    <t>Totaux</t>
  </si>
  <si>
    <t>Note: S'il s'agit d'une revision budgetaire, veuillez inclure des colonnes additionnelles pour montrer les changements</t>
  </si>
  <si>
    <t>CATEGORIES</t>
  </si>
  <si>
    <t>PROJECT TOTAL</t>
  </si>
  <si>
    <t>Tranche 1 (70%)</t>
  </si>
  <si>
    <t>Tranche 2 (30%)</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</si>
  <si>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</si>
  <si>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</si>
  <si>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</si>
  <si>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</si>
  <si>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</si>
  <si>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</si>
  <si>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</si>
  <si>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Sous-total</t>
  </si>
  <si>
    <t xml:space="preserve">8. Coûts indirects*  </t>
  </si>
  <si>
    <t>TOTAL</t>
  </si>
  <si>
    <t>BUDGET GLOBAL</t>
  </si>
  <si>
    <t>TRCHE 1</t>
  </si>
  <si>
    <t>TRCHE 2</t>
  </si>
  <si>
    <t>Commitment</t>
  </si>
  <si>
    <t>Avances non justifiées</t>
  </si>
  <si>
    <t>SOLDE TOTAL</t>
  </si>
  <si>
    <t>% de Realisation par budget global</t>
  </si>
  <si>
    <t>PRODUITS</t>
  </si>
  <si>
    <t>ACTIVITES</t>
  </si>
  <si>
    <t>A</t>
  </si>
  <si>
    <t>B</t>
  </si>
  <si>
    <t>F</t>
  </si>
  <si>
    <t>ACT 1</t>
  </si>
  <si>
    <t>Sub Total OutPut 1.1</t>
  </si>
  <si>
    <t>ACT 2</t>
  </si>
  <si>
    <t>Sub Total OutPut 1.2</t>
  </si>
  <si>
    <t>ACT 3</t>
  </si>
  <si>
    <t>Sub Total OutPut 1.3</t>
  </si>
  <si>
    <t>ACT 4</t>
  </si>
  <si>
    <t>Sub Total OutPut 2.1</t>
  </si>
  <si>
    <t>ACT 5</t>
  </si>
  <si>
    <t>Sub Total OutPut 2.2</t>
  </si>
  <si>
    <t>SOUS TOTAL OUTCOME 2:</t>
  </si>
  <si>
    <t>TOTAL OUTCOME 1+2:</t>
  </si>
  <si>
    <t>ACT 7</t>
  </si>
  <si>
    <t>Budget S&amp;E du projet</t>
  </si>
  <si>
    <t>ACT 8</t>
  </si>
  <si>
    <t>Sous Total S &amp; E du projet:</t>
  </si>
  <si>
    <t>ACT 9</t>
  </si>
  <si>
    <t xml:space="preserve">SUB-TOTAL PROJECT BUDGET:                                                      </t>
  </si>
  <si>
    <t>Budget par agence recipiendiaire en USD - Veuillez ajouter une nouvelle colonne par agence recipiendiaire BUDGET TOTAL</t>
  </si>
  <si>
    <t>D</t>
  </si>
  <si>
    <t>E</t>
  </si>
  <si>
    <t>G</t>
  </si>
  <si>
    <t>H</t>
  </si>
  <si>
    <t xml:space="preserve">Budget par agence recipiendiaire en USD - Veuillez ajouter une nouvelle colonne par agence recipiendiaire UNFPA </t>
  </si>
  <si>
    <t xml:space="preserve"> Équipement, véhicules et mobilier (compte tenu de la dépréciation)</t>
  </si>
  <si>
    <t xml:space="preserve"> Frais généraux de fonctionnement et autres coûts directs (Locaux       VSAT   Sécurité         
Assurance
Autres charges communes)</t>
  </si>
  <si>
    <t xml:space="preserve">Suivi du projet </t>
  </si>
  <si>
    <t xml:space="preserve">Niveau de depense/ engagement actuel en USD (a remplir au moment des rapports de projet) UNFPA      </t>
  </si>
  <si>
    <t xml:space="preserve">Total dépensé </t>
  </si>
  <si>
    <t>UNFPA</t>
  </si>
  <si>
    <t>Amount Recipient  Agency UNFPA</t>
  </si>
  <si>
    <t xml:space="preserve">Décaissement UNFPA </t>
  </si>
  <si>
    <t>Réaliser une étude de base (enquête de perceptions);</t>
  </si>
  <si>
    <t>Organiser des foras communautaires de restitution de l'enquête de perception, des résultats des focus-group pour la priorisation des problèmes et l'identification des pistes de solutions (prise en compte de l'aspect genre) ; (UNFPA)</t>
  </si>
  <si>
    <t>Plaidoyer auprès des autorités en faveur de l’application des textes réglementaires et autres normes  contribuant à la réduction des  violences au quotidien ; (PNUD)</t>
  </si>
  <si>
    <t xml:space="preserve"> Élaborer les messages clefs pour la sensibilisation des responsables des partis politiques, les leaders syndicaux des taxi-motards et d'autres acteurs y inclure les dangers des violences à l’égard des femmes et des filles) ; (UNFPA)
</t>
  </si>
  <si>
    <t xml:space="preserve">Produire des outils de communication pour le changement de comportement ; (UNFPA) 
</t>
  </si>
  <si>
    <t>Organiser des sessions de sensibilisation sur les dangers de l'instrumentalisation des taxi-motards ; (UNFPA)</t>
  </si>
  <si>
    <t>Organiser des sessions de plaidoyers à l'endroit des responsables des partis politiques et les leaders syndicaux des taxi-motards  par les filles/ femmes leaders pour la prise en compte des dangers liés à l'instrumentalisation des taxi-motards ; (PNUD)</t>
  </si>
  <si>
    <t xml:space="preserve">Faciliter le processus de compréhension des partis politiques sur les enjeux de l'instrumentalisation des taxis-motards ; (PNUD) </t>
  </si>
  <si>
    <t>Soutenir le processus de déclaration publique des partis politiques et des leaders syndicaux des taxi-motards en faveur de la non-utilisation des taxi-motos dans les manifestions politiques ; (PNUD)</t>
  </si>
  <si>
    <t>Mettre en place un système digital de cartographie et de monitoring des engagements ; (UNFPA)</t>
  </si>
  <si>
    <t>Former les acteurs de la société civile sur la collecte, analyse et remontée des données liées aux violations et aux bonnes pratiques des engagements ; (UNFPA)</t>
  </si>
  <si>
    <t>Appuyer le processus de monitoring, de traitement et de remontées des informations ; (UNFPA)</t>
  </si>
  <si>
    <t>Appuyer les instances de prise de décision à procéder des séances de restitution. (PNUD)</t>
  </si>
  <si>
    <t>Renforcer le dialogue entre les organisations faitières des femmes et filles, les chefs leaders des syndicats de taxi moto (UNFPA)</t>
  </si>
  <si>
    <t>Cartographier les groupements des moto-taxis par zone cible du projet ; (OIM)</t>
  </si>
  <si>
    <t>Former les responsables des organisations de taxi-moto sur la citoyenneté et le civisme, la communication non violente et la médiation surtout envers les femmes et les filles ; (UNFPA)</t>
  </si>
  <si>
    <t>Appuyer des sessions de sensibilisation sur la culture de la non-violence en direction des jeunes conducteurs de taxis-moto ; (OIM)</t>
  </si>
  <si>
    <t>Soutenir des sessions de formation en direction des jeunes conducteurs de taxi-moto et des policiers  sur le code de la route, les textes règlementaires ; (OIM)</t>
  </si>
  <si>
    <t xml:space="preserve">Identifier des femmes policières et les outiller en technique de prévention et de gestion pacifique des conflits et  constituer en pool de formatrice et de policières référentes. (UNFPA)   </t>
  </si>
  <si>
    <t>Mobiliser les leaders communautaires pour faciliter le changement de comportement. (UNFPA)</t>
  </si>
  <si>
    <t>Former les responsables (jeunes hommes et femmes) des structures de moto-taxi sur la vie associative (fonctionnement des organisations non gouvernementales). (OIM)</t>
  </si>
  <si>
    <t>Former les responsables (jeunes hommes et femmes) des structures de moto-taxi sur  la culture entrepreneuriale ; (OIM)</t>
  </si>
  <si>
    <t>Appuyer les bénéficiaires en kits d’accompagnement (gilets, plaque taxi  -moto et autres accessoires) ; (OIM)</t>
  </si>
  <si>
    <t>Appuyer les initiatives entrepreneuriales portées par les filles/ femmes dans le secteur du transport de taxi-moto surtout celles opérant dans les lieux de stationnement des taxis moto (OIM)</t>
  </si>
  <si>
    <t>Budget par agence recipiendiaire en USD - Veuillez ajouter une nouvelle colonne par agence recipiendiaire OIM</t>
  </si>
  <si>
    <t>Budget par agence recipiendiaire en USD - Veuillez ajouter une nouvelle colonne par agence recipiendiaire PNUD</t>
  </si>
  <si>
    <t>Un chargé de projet (OIM)</t>
  </si>
  <si>
    <t>Un chargé de projet (PNUD)</t>
  </si>
  <si>
    <t>Coordonnateur projet  (UNFPA)</t>
  </si>
  <si>
    <t>VNU Communautaires (4)  (UNFPA)</t>
  </si>
  <si>
    <t>Chauffeur  (UNFPA)</t>
  </si>
  <si>
    <t>OIM</t>
  </si>
  <si>
    <t>PNUD</t>
  </si>
  <si>
    <t>TOTAL BUDGET</t>
  </si>
  <si>
    <t xml:space="preserve">Niveau de depense/ engagement actuel en USD (a remplir au moment des rapports de projet) OIM     </t>
  </si>
  <si>
    <t xml:space="preserve">Niveau de depense/ engagement actuel en USD (a remplir au moment des rapports de projet)      PNUD </t>
  </si>
  <si>
    <t>RESULTAT 1:  Les  violences liées à l’instrumentalisation sociale et politique des jeunes conducteurs de taxi-moto sont  réduites avant, pendant et après les épisodes électoraux de 2019 et 2020</t>
  </si>
  <si>
    <t xml:space="preserve">RESULTAT 2: Les jeunes taxis-motards des zones ciblées deviennent des acteurs et des vecteurs de consolidation de la paix et de renforcement de la cohésion sociale au sein de leurs communautés 
</t>
  </si>
  <si>
    <t>Appui à la réduction de l’instrumentalisation et des violences politico-sociales des jeunes taxi-motards en période électorale</t>
  </si>
  <si>
    <t>Amount Recipient  Agency OIM</t>
  </si>
  <si>
    <t>Amount Recipient  Agency PNUD</t>
  </si>
  <si>
    <t>Décaissement OIM</t>
  </si>
  <si>
    <t xml:space="preserve">Décaissement PNUD </t>
  </si>
  <si>
    <t>Notes quelconque le cas echeant (.e.g sur types des entrants ou justification du budget) GEWE</t>
  </si>
  <si>
    <t>Total dépenses GEWE</t>
  </si>
  <si>
    <r>
      <rPr>
        <b/>
        <sz val="12"/>
        <color indexed="8"/>
        <rFont val="Times New Roman"/>
        <family val="1"/>
      </rPr>
      <t xml:space="preserve">Produit 1.1  </t>
    </r>
    <r>
      <rPr>
        <sz val="12"/>
        <color indexed="8"/>
        <rFont val="Times New Roman"/>
        <family val="1"/>
      </rPr>
      <t xml:space="preserve">   Un cadre de gouvernance locale qui promeut à la fois le dialogue social et qui instaure des mécanismes communautaires de redevabilité est créé et fonctionnel</t>
    </r>
  </si>
  <si>
    <r>
      <rPr>
        <b/>
        <sz val="12"/>
        <color indexed="8"/>
        <rFont val="Times New Roman"/>
        <family val="1"/>
      </rPr>
      <t xml:space="preserve">Produit 1.2 </t>
    </r>
    <r>
      <rPr>
        <sz val="12"/>
        <color indexed="8"/>
        <rFont val="Times New Roman"/>
        <family val="1"/>
      </rPr>
      <t xml:space="preserve">   Les responsables des  partis politiques et les leaders syndicaux des taxi-motards sont sensibilisés et conscientisés sur les dangers de l'instrumentalisation</t>
    </r>
  </si>
  <si>
    <r>
      <rPr>
        <b/>
        <sz val="12"/>
        <color indexed="8"/>
        <rFont val="Times New Roman"/>
        <family val="1"/>
      </rPr>
      <t xml:space="preserve">Produit 1.3  </t>
    </r>
    <r>
      <rPr>
        <sz val="12"/>
        <color indexed="8"/>
        <rFont val="Times New Roman"/>
        <family val="1"/>
      </rPr>
      <t xml:space="preserve"> La société civile assure le contrôle citoyen sur la mise en œuvre des engagements pris dans le cadre d’une charte de bonne entente  des déclarations publiques entre ldes acteurs clés et remontes les informations aux groupes d’influence (PRGI, CLJ, CLSPD) et partagées avec les communautés, la police, les autorités locales et les chefs leadersdes syndicauxats de taxi-motordso  </t>
    </r>
  </si>
  <si>
    <r>
      <rPr>
        <b/>
        <sz val="12"/>
        <color indexed="8"/>
        <rFont val="Times New Roman"/>
        <family val="1"/>
      </rPr>
      <t xml:space="preserve">Produit 2.1 </t>
    </r>
    <r>
      <rPr>
        <sz val="12"/>
        <color indexed="8"/>
        <rFont val="Times New Roman"/>
        <family val="1"/>
      </rPr>
      <t xml:space="preserve"> Les capacités des jeunes taxi-motards et des leaders communautaires sont renforcées en techniques de prévention et de gestion des conflits </t>
    </r>
  </si>
  <si>
    <r>
      <rPr>
        <b/>
        <sz val="12"/>
        <color indexed="8"/>
        <rFont val="Times New Roman"/>
        <family val="1"/>
      </rPr>
      <t>Produit 2.2</t>
    </r>
    <r>
      <rPr>
        <sz val="12"/>
        <color indexed="8"/>
        <rFont val="Times New Roman"/>
        <family val="1"/>
      </rPr>
      <t xml:space="preserve">  Les capacités organisationnelles et entrepreunariale des taxi-motards sont renforcées.</t>
    </r>
  </si>
  <si>
    <t>Soutenir des focus group des acteurs clés incluant les femmes et les association féminine du processus sur l'identification des problèmes et les propositions de solutions pour la réduction de l'instrumentalisation sociale et politique des jeunes taxi-motards et leurs bonnes intégrations au sein des communautés  (PNUD)</t>
  </si>
  <si>
    <t xml:space="preserve">Dépenses au 14 Juin 2021 </t>
  </si>
  <si>
    <t>Fait le 14 JUIN 2021</t>
  </si>
  <si>
    <t>Total dépenses au 14 Juin 2021</t>
  </si>
  <si>
    <t xml:space="preserve">Tableau 2 - Budget de projet PBF Appui à la réduction de l’instrumentalisation et des violences politico-sociales des jeunes taxi-motards en période électorale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</si>
</sst>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0.00\ &quot;€&quot;_-;\-* #,##0.00\ &quot;€&quot;_-;_-* &quot;-&quot;??\ &quot;€&quot;_-;_-@_-"/>
    <numFmt numFmtId="164" formatCode="_-* #,##0.00\ _€_-;\-* #,##0.00\ _€_-;_-* &quot;-&quot;??\ _€_-;_-@_-"/>
    <numFmt numFmtId="165" formatCode="_-* #,##0\ _F_G_-;\-* #,##0\ _F_G_-;_-* &quot;-&quot;\ _F_G_-;_-@_-"/>
    <numFmt numFmtId="166" formatCode="_-* #,##0.00\ _F_G_-;\-* #,##0.00\ _F_G_-;_-* &quot;-&quot;??\ _F_G_-;_-@_-"/>
    <numFmt numFmtId="167" formatCode="_-* #,##0.00\ _F_G_-;\-* #,##0.00\ _F_G_-;_-* &quot;-&quot;\ _F_G_-;_-@_-"/>
    <numFmt numFmtId="168" formatCode="_-* #,##0\ _€_-;\-* #,##0\ _€_-;_-* &quot;-&quot;??\ _€_-;_-@_-"/>
    <numFmt numFmtId="169" formatCode="_(&quot;$&quot;* #,##0.00_);_(&quot;$&quot;* \(#,##0.00\);_(&quot;$&quot;* &quot;-&quot;??_);_(@_)"/>
  </numFmts>
  <fonts count="22" x14ac:knownFonts="1">
    <font>
      <sz val="11"/>
      <color theme="1"/>
      <name val="Calibri"/>
      <family val="2"/>
      <scheme val="minor"/>
    </font>
    <font>
      <sz val="11"/>
      <name val="Times New Roman"/>
      <family val="1"/>
    </font>
    <font>
      <b/>
      <sz val="9"/>
      <color indexed="81"/>
      <name val="Tahoma"/>
      <family val="2"/>
    </font>
    <font>
      <sz val="9"/>
      <color indexed="81"/>
      <name val="Tahoma"/>
      <family val="2"/>
    </font>
    <font>
      <sz val="12"/>
      <color indexed="8"/>
      <name val="Times New Roman"/>
      <family val="1"/>
    </font>
    <font>
      <b/>
      <sz val="12"/>
      <color indexed="8"/>
      <name val="Times New Roman"/>
      <family val="1"/>
    </font>
    <font>
      <sz val="12"/>
      <name val="Times New Roman"/>
      <family val="1"/>
    </font>
    <font>
      <b/>
      <sz val="12"/>
      <name val="Times New Roman"/>
      <family val="1"/>
    </font>
    <font>
      <sz val="11"/>
      <color theme="1"/>
      <name val="Calibri"/>
      <family val="2"/>
      <scheme val="minor"/>
    </font>
    <font>
      <b/>
      <sz val="11"/>
      <color theme="1"/>
      <name val="Calibri"/>
      <family val="2"/>
      <scheme val="minor"/>
    </font>
    <font>
      <b/>
      <sz val="12"/>
      <color theme="1"/>
      <name val="Calibri"/>
      <family val="2"/>
      <scheme val="minor"/>
    </font>
    <font>
      <b/>
      <sz val="12"/>
      <color theme="1"/>
      <name val="Calibri"/>
      <family val="2"/>
    </font>
    <font>
      <sz val="11"/>
      <color theme="1"/>
      <name val="Times New Roman"/>
      <family val="1"/>
    </font>
    <font>
      <sz val="12"/>
      <color theme="1"/>
      <name val="Calibri"/>
      <family val="2"/>
    </font>
    <font>
      <sz val="10"/>
      <color theme="1"/>
      <name val="Times New Roman"/>
      <family val="1"/>
    </font>
    <font>
      <b/>
      <sz val="10"/>
      <color theme="1"/>
      <name val="Times New Roman"/>
      <family val="1"/>
    </font>
    <font>
      <b/>
      <sz val="10"/>
      <color theme="1"/>
      <name val="Calibri"/>
      <family val="2"/>
    </font>
    <font>
      <sz val="10"/>
      <color theme="1"/>
      <name val="Calibri"/>
      <family val="2"/>
    </font>
    <font>
      <sz val="12"/>
      <color theme="1"/>
      <name val="Calibri"/>
      <family val="2"/>
      <scheme val="minor"/>
    </font>
    <font>
      <b/>
      <sz val="12"/>
      <color theme="1"/>
      <name val="Times New Roman"/>
      <family val="1"/>
    </font>
    <font>
      <sz val="12"/>
      <color theme="1"/>
      <name val="Times New Roman"/>
      <family val="1"/>
    </font>
    <font>
      <sz val="12"/>
      <name val="Calibri"/>
      <family val="2"/>
      <scheme val="minor"/>
    </font>
  </fonts>
  <fills count="22">
    <fill>
      <patternFill patternType="none"/>
    </fill>
    <fill>
      <patternFill patternType="gray125"/>
    </fill>
    <fill>
      <patternFill patternType="solid">
        <fgColor rgb="FFBFBFBF"/>
        <bgColor indexed="64"/>
      </patternFill>
    </fill>
    <fill>
      <patternFill patternType="solid">
        <fgColor theme="0" tint="-0.14999847407452621"/>
        <bgColor indexed="64"/>
      </patternFill>
    </fill>
    <fill>
      <patternFill patternType="solid">
        <fgColor rgb="FFD9D9D9"/>
        <bgColor indexed="64"/>
      </patternFill>
    </fill>
    <fill>
      <patternFill patternType="solid">
        <fgColor theme="9" tint="0.59999389629810485"/>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4"/>
        <bgColor indexed="64"/>
      </patternFill>
    </fill>
    <fill>
      <patternFill patternType="solid">
        <fgColor theme="6" tint="0.59999389629810485"/>
        <bgColor indexed="64"/>
      </patternFill>
    </fill>
    <fill>
      <patternFill patternType="solid">
        <fgColor rgb="FF00FFFF"/>
        <bgColor indexed="64"/>
      </patternFill>
    </fill>
    <fill>
      <patternFill patternType="solid">
        <fgColor theme="4" tint="0.59999389629810485"/>
        <bgColor indexed="64"/>
      </patternFill>
    </fill>
    <fill>
      <patternFill patternType="solid">
        <fgColor rgb="FFFFC000"/>
        <bgColor indexed="64"/>
      </patternFill>
    </fill>
    <fill>
      <patternFill patternType="solid">
        <fgColor theme="5" tint="0.39997558519241921"/>
        <bgColor indexed="64"/>
      </patternFill>
    </fill>
    <fill>
      <patternFill patternType="solid">
        <fgColor theme="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rgb="FFB3B3B3"/>
        <bgColor indexed="64"/>
      </patternFill>
    </fill>
  </fills>
  <borders count="60">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thin">
        <color indexed="64"/>
      </left>
      <right/>
      <top/>
      <bottom/>
      <diagonal/>
    </border>
    <border>
      <left style="medium">
        <color indexed="64"/>
      </left>
      <right style="medium">
        <color indexed="64"/>
      </right>
      <top/>
      <bottom/>
      <diagonal/>
    </border>
    <border>
      <left style="medium">
        <color indexed="64"/>
      </left>
      <right/>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right/>
      <top/>
      <bottom style="medium">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bottom/>
      <diagonal/>
    </border>
    <border>
      <left/>
      <right style="medium">
        <color rgb="FF000000"/>
      </right>
      <top/>
      <bottom style="medium">
        <color rgb="FF000000"/>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right style="medium">
        <color indexed="64"/>
      </right>
      <top/>
      <bottom style="medium">
        <color rgb="FF000000"/>
      </bottom>
      <diagonal/>
    </border>
    <border>
      <left style="medium">
        <color indexed="64"/>
      </left>
      <right/>
      <top/>
      <bottom style="medium">
        <color rgb="FF000000"/>
      </bottom>
      <diagonal/>
    </border>
    <border>
      <left style="medium">
        <color indexed="64"/>
      </left>
      <right style="medium">
        <color rgb="FF000000"/>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diagonal/>
    </border>
    <border>
      <left style="medium">
        <color indexed="64"/>
      </left>
      <right style="medium">
        <color rgb="FF000000"/>
      </right>
      <top style="medium">
        <color indexed="64"/>
      </top>
      <bottom/>
      <diagonal/>
    </border>
    <border>
      <left style="medium">
        <color indexed="64"/>
      </left>
      <right style="medium">
        <color rgb="FF000000"/>
      </right>
      <top/>
      <bottom/>
      <diagonal/>
    </border>
    <border>
      <left style="medium">
        <color rgb="FF000000"/>
      </left>
      <right style="medium">
        <color rgb="FF000000"/>
      </right>
      <top style="medium">
        <color indexed="64"/>
      </top>
      <bottom/>
      <diagonal/>
    </border>
    <border>
      <left style="medium">
        <color rgb="FF000000"/>
      </left>
      <right style="medium">
        <color rgb="FF000000"/>
      </right>
      <top/>
      <bottom/>
      <diagonal/>
    </border>
    <border>
      <left style="medium">
        <color rgb="FF000000"/>
      </left>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s>
  <cellStyleXfs count="5">
    <xf numFmtId="0" fontId="0" fillId="0" borderId="0"/>
    <xf numFmtId="166" fontId="8" fillId="0" borderId="0" applyFont="0" applyFill="0" applyBorder="0" applyAlignment="0" applyProtection="0"/>
    <xf numFmtId="165"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cellStyleXfs>
  <cellXfs count="345">
    <xf numFmtId="0" fontId="0" fillId="0" borderId="0" xfId="0"/>
    <xf numFmtId="167" fontId="8" fillId="0" borderId="0" xfId="2" applyNumberFormat="1" applyFont="1"/>
    <xf numFmtId="0" fontId="0" fillId="0" borderId="0" xfId="0" applyAlignment="1">
      <alignment horizontal="center"/>
    </xf>
    <xf numFmtId="0" fontId="9" fillId="0" borderId="0" xfId="0" applyFont="1"/>
    <xf numFmtId="0" fontId="11" fillId="2" borderId="45" xfId="0" applyFont="1" applyFill="1" applyBorder="1" applyAlignment="1">
      <alignment horizontal="center" vertical="center" wrapText="1"/>
    </xf>
    <xf numFmtId="166" fontId="12" fillId="0" borderId="1" xfId="1" applyFont="1" applyFill="1" applyBorder="1" applyAlignment="1">
      <alignment horizontal="right" vertical="center" wrapText="1"/>
    </xf>
    <xf numFmtId="168" fontId="13" fillId="0" borderId="45" xfId="1" applyNumberFormat="1" applyFont="1" applyBorder="1" applyAlignment="1">
      <alignment horizontal="left" vertical="center" wrapText="1"/>
    </xf>
    <xf numFmtId="0" fontId="14" fillId="0" borderId="46" xfId="0" applyFont="1" applyBorder="1" applyAlignment="1">
      <alignment vertical="center" wrapText="1"/>
    </xf>
    <xf numFmtId="166" fontId="12" fillId="0" borderId="2" xfId="1" applyFont="1" applyFill="1" applyBorder="1" applyAlignment="1">
      <alignment horizontal="right" vertical="center" wrapText="1"/>
    </xf>
    <xf numFmtId="0" fontId="14" fillId="0" borderId="47" xfId="0" applyFont="1" applyBorder="1" applyAlignment="1">
      <alignment vertical="center" wrapText="1"/>
    </xf>
    <xf numFmtId="166" fontId="12" fillId="0" borderId="3" xfId="1" applyFont="1" applyFill="1" applyBorder="1" applyAlignment="1">
      <alignment horizontal="right" vertical="center" wrapText="1"/>
    </xf>
    <xf numFmtId="166" fontId="12" fillId="0" borderId="1" xfId="1" applyFont="1" applyFill="1" applyBorder="1" applyAlignment="1">
      <alignment vertical="center" wrapText="1"/>
    </xf>
    <xf numFmtId="166" fontId="15" fillId="3" borderId="3" xfId="1" applyFont="1" applyFill="1" applyBorder="1" applyAlignment="1">
      <alignment horizontal="right" vertical="center" wrapText="1"/>
    </xf>
    <xf numFmtId="166" fontId="14" fillId="0" borderId="3" xfId="1" applyFont="1" applyFill="1" applyBorder="1" applyAlignment="1">
      <alignment horizontal="right" vertical="center" wrapText="1"/>
    </xf>
    <xf numFmtId="168" fontId="15" fillId="3" borderId="3" xfId="1" applyNumberFormat="1" applyFont="1" applyFill="1" applyBorder="1" applyAlignment="1">
      <alignment horizontal="center" vertical="center" wrapText="1"/>
    </xf>
    <xf numFmtId="0" fontId="16" fillId="3" borderId="4" xfId="0" applyFont="1" applyFill="1" applyBorder="1" applyAlignment="1">
      <alignment horizontal="center" vertical="center" wrapText="1"/>
    </xf>
    <xf numFmtId="0" fontId="16" fillId="3" borderId="2" xfId="0" applyFont="1" applyFill="1" applyBorder="1" applyAlignment="1">
      <alignment horizontal="center" vertical="center" wrapText="1"/>
    </xf>
    <xf numFmtId="166" fontId="12" fillId="0" borderId="2" xfId="1" applyFont="1" applyFill="1" applyBorder="1" applyAlignment="1">
      <alignment horizontal="center" wrapText="1"/>
    </xf>
    <xf numFmtId="166" fontId="12" fillId="0" borderId="0" xfId="1" applyFont="1" applyFill="1" applyBorder="1" applyAlignment="1">
      <alignment horizontal="center" wrapText="1"/>
    </xf>
    <xf numFmtId="164" fontId="0" fillId="0" borderId="2" xfId="0" applyNumberFormat="1" applyBorder="1" applyAlignment="1">
      <alignment horizontal="center"/>
    </xf>
    <xf numFmtId="166" fontId="12" fillId="0" borderId="5" xfId="1" applyFont="1" applyFill="1" applyBorder="1" applyAlignment="1">
      <alignment horizontal="center" wrapText="1"/>
    </xf>
    <xf numFmtId="166" fontId="14" fillId="0" borderId="5" xfId="1" applyFont="1" applyFill="1" applyBorder="1" applyAlignment="1">
      <alignment horizontal="center" wrapText="1"/>
    </xf>
    <xf numFmtId="166" fontId="14" fillId="0" borderId="1" xfId="1" applyFont="1" applyFill="1" applyBorder="1" applyAlignment="1">
      <alignment horizontal="center" wrapText="1"/>
    </xf>
    <xf numFmtId="166" fontId="14" fillId="0" borderId="6" xfId="1" applyFont="1" applyFill="1" applyBorder="1" applyAlignment="1">
      <alignment horizontal="center" wrapText="1"/>
    </xf>
    <xf numFmtId="166" fontId="14" fillId="0" borderId="3" xfId="1" applyFont="1" applyFill="1" applyBorder="1" applyAlignment="1">
      <alignment horizontal="center" wrapText="1"/>
    </xf>
    <xf numFmtId="166" fontId="14" fillId="0" borderId="2" xfId="1" applyFont="1" applyFill="1" applyBorder="1" applyAlignment="1">
      <alignment horizontal="center" wrapText="1"/>
    </xf>
    <xf numFmtId="0" fontId="15" fillId="4" borderId="46" xfId="0" applyFont="1" applyFill="1" applyBorder="1" applyAlignment="1">
      <alignment vertical="center" wrapText="1"/>
    </xf>
    <xf numFmtId="166" fontId="15" fillId="3" borderId="1" xfId="1" applyFont="1" applyFill="1" applyBorder="1" applyAlignment="1">
      <alignment horizontal="right" vertical="center" wrapText="1"/>
    </xf>
    <xf numFmtId="164" fontId="0" fillId="3" borderId="1" xfId="0" applyNumberFormat="1" applyFill="1" applyBorder="1" applyAlignment="1">
      <alignment horizontal="center"/>
    </xf>
    <xf numFmtId="164" fontId="9" fillId="0" borderId="3" xfId="0" applyNumberFormat="1" applyFont="1" applyFill="1" applyBorder="1"/>
    <xf numFmtId="164" fontId="0" fillId="0" borderId="0" xfId="0" applyNumberFormat="1"/>
    <xf numFmtId="166" fontId="8" fillId="0" borderId="0" xfId="1" applyFont="1"/>
    <xf numFmtId="9" fontId="8" fillId="0" borderId="4" xfId="4" applyFont="1" applyBorder="1" applyAlignment="1">
      <alignment horizontal="center" vertical="center"/>
    </xf>
    <xf numFmtId="9" fontId="8" fillId="3" borderId="1" xfId="4" applyFont="1" applyFill="1" applyBorder="1" applyAlignment="1">
      <alignment horizontal="center" vertical="center"/>
    </xf>
    <xf numFmtId="166" fontId="12" fillId="5" borderId="5" xfId="1" applyFont="1" applyFill="1" applyBorder="1" applyAlignment="1">
      <alignment horizontal="center" wrapText="1"/>
    </xf>
    <xf numFmtId="0" fontId="14" fillId="0" borderId="5" xfId="0" applyFont="1" applyBorder="1" applyAlignment="1">
      <alignment vertical="center" wrapText="1"/>
    </xf>
    <xf numFmtId="166" fontId="12" fillId="5" borderId="6" xfId="1" applyFont="1" applyFill="1" applyBorder="1" applyAlignment="1">
      <alignment horizontal="center" wrapText="1"/>
    </xf>
    <xf numFmtId="166" fontId="1" fillId="0" borderId="7" xfId="1" applyFont="1" applyFill="1" applyBorder="1" applyAlignment="1">
      <alignment horizontal="center" wrapText="1"/>
    </xf>
    <xf numFmtId="166" fontId="1" fillId="0" borderId="4" xfId="1" applyFont="1" applyFill="1" applyBorder="1" applyAlignment="1">
      <alignment horizontal="center" wrapText="1"/>
    </xf>
    <xf numFmtId="166" fontId="1" fillId="0" borderId="1" xfId="1" applyFont="1" applyFill="1" applyBorder="1" applyAlignment="1">
      <alignment horizontal="center" wrapText="1"/>
    </xf>
    <xf numFmtId="166" fontId="1" fillId="0" borderId="8" xfId="1" applyFont="1" applyFill="1" applyBorder="1" applyAlignment="1">
      <alignment horizontal="center" wrapText="1"/>
    </xf>
    <xf numFmtId="0" fontId="11" fillId="2" borderId="48" xfId="0" applyFont="1" applyFill="1" applyBorder="1" applyAlignment="1">
      <alignment horizontal="center" vertical="center" wrapText="1"/>
    </xf>
    <xf numFmtId="168" fontId="13" fillId="0" borderId="48" xfId="1" applyNumberFormat="1" applyFont="1" applyBorder="1" applyAlignment="1">
      <alignment horizontal="left" vertical="center" wrapText="1"/>
    </xf>
    <xf numFmtId="0" fontId="14" fillId="0" borderId="49" xfId="0" applyFont="1" applyBorder="1" applyAlignment="1">
      <alignment vertical="center" wrapText="1"/>
    </xf>
    <xf numFmtId="0" fontId="14" fillId="0" borderId="50" xfId="0" applyFont="1" applyBorder="1" applyAlignment="1">
      <alignment vertical="center" wrapText="1"/>
    </xf>
    <xf numFmtId="0" fontId="15" fillId="4" borderId="51" xfId="0" applyFont="1" applyFill="1" applyBorder="1" applyAlignment="1">
      <alignment vertical="center" wrapText="1"/>
    </xf>
    <xf numFmtId="0" fontId="14" fillId="0" borderId="9" xfId="0" applyFont="1" applyBorder="1" applyAlignment="1">
      <alignment vertical="center" wrapText="1"/>
    </xf>
    <xf numFmtId="0" fontId="11" fillId="2" borderId="52" xfId="0" applyFont="1" applyFill="1" applyBorder="1" applyAlignment="1">
      <alignment horizontal="center" vertical="center" wrapText="1"/>
    </xf>
    <xf numFmtId="166" fontId="12" fillId="0" borderId="10" xfId="1" applyFont="1" applyFill="1" applyBorder="1" applyAlignment="1">
      <alignment horizontal="right" vertical="center" wrapText="1"/>
    </xf>
    <xf numFmtId="168" fontId="13" fillId="0" borderId="1" xfId="1" applyNumberFormat="1" applyFont="1" applyBorder="1" applyAlignment="1">
      <alignment horizontal="left" vertical="center" wrapText="1"/>
    </xf>
    <xf numFmtId="3" fontId="17" fillId="0" borderId="1" xfId="0" applyNumberFormat="1" applyFont="1" applyBorder="1" applyAlignment="1">
      <alignment horizontal="right" vertical="center" wrapText="1"/>
    </xf>
    <xf numFmtId="0" fontId="18" fillId="0" borderId="0" xfId="0" applyFont="1" applyFill="1" applyBorder="1" applyAlignment="1">
      <alignment wrapText="1"/>
    </xf>
    <xf numFmtId="44" fontId="18" fillId="6" borderId="0" xfId="3" applyFont="1" applyFill="1" applyBorder="1" applyAlignment="1" applyProtection="1">
      <alignment vertical="center" wrapText="1"/>
      <protection locked="0"/>
    </xf>
    <xf numFmtId="169" fontId="10" fillId="6" borderId="0" xfId="0" applyNumberFormat="1" applyFont="1" applyFill="1" applyBorder="1" applyAlignment="1">
      <alignment vertical="center" wrapText="1"/>
    </xf>
    <xf numFmtId="3" fontId="0" fillId="0" borderId="0" xfId="0" applyNumberFormat="1"/>
    <xf numFmtId="167" fontId="15" fillId="4" borderId="47" xfId="2" applyNumberFormat="1" applyFont="1" applyFill="1" applyBorder="1" applyAlignment="1">
      <alignment horizontal="center" vertical="center" wrapText="1"/>
    </xf>
    <xf numFmtId="167" fontId="19" fillId="3" borderId="3" xfId="2" applyNumberFormat="1" applyFont="1" applyFill="1" applyBorder="1" applyAlignment="1">
      <alignment vertical="center" wrapText="1"/>
    </xf>
    <xf numFmtId="167" fontId="19" fillId="3" borderId="10" xfId="2" applyNumberFormat="1" applyFont="1" applyFill="1" applyBorder="1" applyAlignment="1">
      <alignment vertical="center" wrapText="1"/>
    </xf>
    <xf numFmtId="167" fontId="15" fillId="3" borderId="3" xfId="2" applyNumberFormat="1" applyFont="1" applyFill="1" applyBorder="1" applyAlignment="1">
      <alignment horizontal="right" vertical="center" wrapText="1"/>
    </xf>
    <xf numFmtId="167" fontId="8" fillId="0" borderId="0" xfId="2" applyNumberFormat="1" applyFont="1" applyAlignment="1">
      <alignment horizontal="center"/>
    </xf>
    <xf numFmtId="164" fontId="15" fillId="3" borderId="3" xfId="1" applyNumberFormat="1" applyFont="1" applyFill="1" applyBorder="1" applyAlignment="1">
      <alignment horizontal="center" vertical="center" wrapText="1"/>
    </xf>
    <xf numFmtId="166" fontId="12" fillId="0" borderId="1" xfId="1" applyFont="1" applyFill="1" applyBorder="1" applyAlignment="1">
      <alignment horizontal="center" wrapText="1"/>
    </xf>
    <xf numFmtId="167" fontId="10" fillId="11" borderId="0" xfId="2" applyNumberFormat="1" applyFont="1" applyFill="1" applyAlignment="1">
      <alignment horizontal="right" wrapText="1"/>
    </xf>
    <xf numFmtId="167" fontId="20" fillId="12" borderId="12" xfId="2" applyNumberFormat="1" applyFont="1" applyFill="1" applyBorder="1" applyAlignment="1">
      <alignment horizontal="right" vertical="center" wrapText="1"/>
    </xf>
    <xf numFmtId="167" fontId="20" fillId="0" borderId="12" xfId="2" applyNumberFormat="1" applyFont="1" applyFill="1" applyBorder="1" applyAlignment="1">
      <alignment horizontal="center" vertical="center" wrapText="1"/>
    </xf>
    <xf numFmtId="167" fontId="10" fillId="13" borderId="11" xfId="2" applyNumberFormat="1" applyFont="1" applyFill="1" applyBorder="1" applyAlignment="1">
      <alignment horizontal="right" vertical="center"/>
    </xf>
    <xf numFmtId="167" fontId="18" fillId="12" borderId="11" xfId="2" applyNumberFormat="1" applyFont="1" applyFill="1" applyBorder="1" applyAlignment="1">
      <alignment horizontal="right" vertical="center"/>
    </xf>
    <xf numFmtId="167" fontId="19" fillId="5" borderId="1" xfId="2" applyNumberFormat="1" applyFont="1" applyFill="1" applyBorder="1" applyAlignment="1">
      <alignment horizontal="right" vertical="center" wrapText="1"/>
    </xf>
    <xf numFmtId="167" fontId="18" fillId="11" borderId="11" xfId="2" applyNumberFormat="1" applyFont="1" applyFill="1" applyBorder="1" applyAlignment="1">
      <alignment horizontal="right" vertical="center"/>
    </xf>
    <xf numFmtId="167" fontId="18" fillId="12" borderId="14" xfId="2" applyNumberFormat="1" applyFont="1" applyFill="1" applyBorder="1" applyAlignment="1">
      <alignment horizontal="right" vertical="center"/>
    </xf>
    <xf numFmtId="167" fontId="18" fillId="11" borderId="14" xfId="2" applyNumberFormat="1" applyFont="1" applyFill="1" applyBorder="1" applyAlignment="1">
      <alignment horizontal="right" vertical="center"/>
    </xf>
    <xf numFmtId="167" fontId="19" fillId="9" borderId="1" xfId="2" applyNumberFormat="1" applyFont="1" applyFill="1" applyBorder="1" applyAlignment="1">
      <alignment horizontal="right" vertical="center" wrapText="1"/>
    </xf>
    <xf numFmtId="167" fontId="20" fillId="5" borderId="1" xfId="2" applyNumberFormat="1" applyFont="1" applyFill="1" applyBorder="1" applyAlignment="1">
      <alignment horizontal="right" vertical="center" wrapText="1"/>
    </xf>
    <xf numFmtId="167" fontId="19" fillId="8" borderId="1" xfId="2" applyNumberFormat="1" applyFont="1" applyFill="1" applyBorder="1" applyAlignment="1">
      <alignment horizontal="right" vertical="center" wrapText="1"/>
    </xf>
    <xf numFmtId="167" fontId="7" fillId="11" borderId="2" xfId="2" applyNumberFormat="1" applyFont="1" applyFill="1" applyBorder="1" applyAlignment="1">
      <alignment horizontal="right" vertical="center" wrapText="1"/>
    </xf>
    <xf numFmtId="167" fontId="7" fillId="5" borderId="1" xfId="2" applyNumberFormat="1" applyFont="1" applyFill="1" applyBorder="1" applyAlignment="1">
      <alignment horizontal="right" vertical="center" wrapText="1"/>
    </xf>
    <xf numFmtId="167" fontId="19" fillId="14" borderId="1" xfId="2" applyNumberFormat="1" applyFont="1" applyFill="1" applyBorder="1" applyAlignment="1">
      <alignment horizontal="right" vertical="center" wrapText="1"/>
    </xf>
    <xf numFmtId="167" fontId="7" fillId="15" borderId="15" xfId="2" applyNumberFormat="1" applyFont="1" applyFill="1" applyBorder="1" applyAlignment="1">
      <alignment horizontal="center" vertical="center" wrapText="1"/>
    </xf>
    <xf numFmtId="167" fontId="10" fillId="0" borderId="0" xfId="2" applyNumberFormat="1" applyFont="1" applyFill="1" applyAlignment="1">
      <alignment horizontal="center"/>
    </xf>
    <xf numFmtId="167" fontId="10" fillId="0" borderId="0" xfId="2" applyNumberFormat="1" applyFont="1" applyFill="1" applyAlignment="1">
      <alignment horizontal="right"/>
    </xf>
    <xf numFmtId="167" fontId="10" fillId="0" borderId="16" xfId="2" applyNumberFormat="1" applyFont="1" applyFill="1" applyBorder="1" applyAlignment="1">
      <alignment horizontal="center" vertical="center" wrapText="1"/>
    </xf>
    <xf numFmtId="167" fontId="18" fillId="0" borderId="4" xfId="2" applyNumberFormat="1" applyFont="1" applyFill="1" applyBorder="1" applyAlignment="1">
      <alignment horizontal="right" vertical="center"/>
    </xf>
    <xf numFmtId="167" fontId="18" fillId="0" borderId="17" xfId="2" applyNumberFormat="1" applyFont="1" applyFill="1" applyBorder="1" applyAlignment="1">
      <alignment horizontal="center" vertical="center"/>
    </xf>
    <xf numFmtId="167" fontId="10" fillId="0" borderId="4" xfId="2" applyNumberFormat="1" applyFont="1" applyFill="1" applyBorder="1" applyAlignment="1">
      <alignment horizontal="center" vertical="center"/>
    </xf>
    <xf numFmtId="9" fontId="18" fillId="0" borderId="18" xfId="4" applyFont="1" applyFill="1" applyBorder="1" applyAlignment="1">
      <alignment horizontal="center" vertical="center"/>
    </xf>
    <xf numFmtId="167" fontId="18" fillId="0" borderId="1" xfId="2" applyNumberFormat="1" applyFont="1" applyFill="1" applyBorder="1" applyAlignment="1">
      <alignment horizontal="right" vertical="center"/>
    </xf>
    <xf numFmtId="9" fontId="10" fillId="7" borderId="16" xfId="4" applyFont="1" applyFill="1" applyBorder="1" applyAlignment="1">
      <alignment horizontal="center" vertical="center"/>
    </xf>
    <xf numFmtId="167" fontId="10" fillId="7" borderId="16" xfId="2" applyNumberFormat="1" applyFont="1" applyFill="1" applyBorder="1" applyAlignment="1">
      <alignment horizontal="center" vertical="center"/>
    </xf>
    <xf numFmtId="167" fontId="10" fillId="7" borderId="16" xfId="2" applyNumberFormat="1" applyFont="1" applyFill="1" applyBorder="1" applyAlignment="1">
      <alignment horizontal="right" vertical="center"/>
    </xf>
    <xf numFmtId="167" fontId="10" fillId="16" borderId="5" xfId="2" applyNumberFormat="1" applyFont="1" applyFill="1" applyBorder="1" applyAlignment="1">
      <alignment horizontal="center" vertical="center"/>
    </xf>
    <xf numFmtId="167" fontId="10" fillId="16" borderId="5" xfId="2" applyNumberFormat="1" applyFont="1" applyFill="1" applyBorder="1" applyAlignment="1">
      <alignment horizontal="right" vertical="center"/>
    </xf>
    <xf numFmtId="9" fontId="10" fillId="16" borderId="5" xfId="4" applyFont="1" applyFill="1" applyBorder="1" applyAlignment="1">
      <alignment horizontal="center" vertical="center"/>
    </xf>
    <xf numFmtId="167" fontId="10" fillId="0" borderId="0" xfId="2" applyNumberFormat="1" applyFont="1"/>
    <xf numFmtId="167" fontId="18" fillId="0" borderId="0" xfId="2" applyNumberFormat="1" applyFont="1"/>
    <xf numFmtId="167" fontId="18" fillId="0" borderId="0" xfId="2" applyNumberFormat="1" applyFont="1" applyAlignment="1">
      <alignment horizontal="center"/>
    </xf>
    <xf numFmtId="167" fontId="18" fillId="17" borderId="0" xfId="2" applyNumberFormat="1" applyFont="1" applyFill="1"/>
    <xf numFmtId="167" fontId="18" fillId="0" borderId="0" xfId="2" applyNumberFormat="1" applyFont="1" applyAlignment="1">
      <alignment wrapText="1"/>
    </xf>
    <xf numFmtId="167" fontId="18" fillId="0" borderId="0" xfId="2" applyNumberFormat="1" applyFont="1" applyFill="1" applyAlignment="1">
      <alignment wrapText="1"/>
    </xf>
    <xf numFmtId="167" fontId="10" fillId="0" borderId="0" xfId="2" applyNumberFormat="1" applyFont="1" applyFill="1" applyAlignment="1">
      <alignment horizontal="center" wrapText="1"/>
    </xf>
    <xf numFmtId="167" fontId="20" fillId="0" borderId="19" xfId="2" applyNumberFormat="1" applyFont="1" applyBorder="1" applyAlignment="1">
      <alignment vertical="center" wrapText="1"/>
    </xf>
    <xf numFmtId="167" fontId="20" fillId="0" borderId="12" xfId="2" applyNumberFormat="1" applyFont="1" applyBorder="1" applyAlignment="1">
      <alignment vertical="center" wrapText="1"/>
    </xf>
    <xf numFmtId="167" fontId="19" fillId="0" borderId="12" xfId="2" applyNumberFormat="1" applyFont="1" applyBorder="1" applyAlignment="1">
      <alignment vertical="center" wrapText="1"/>
    </xf>
    <xf numFmtId="167" fontId="20" fillId="18" borderId="12" xfId="2" applyNumberFormat="1" applyFont="1" applyFill="1" applyBorder="1" applyAlignment="1">
      <alignment vertical="center" wrapText="1"/>
    </xf>
    <xf numFmtId="167" fontId="20" fillId="5" borderId="12" xfId="2" applyNumberFormat="1" applyFont="1" applyFill="1" applyBorder="1" applyAlignment="1">
      <alignment vertical="center" wrapText="1"/>
    </xf>
    <xf numFmtId="167" fontId="20" fillId="12" borderId="12" xfId="2" applyNumberFormat="1" applyFont="1" applyFill="1" applyBorder="1" applyAlignment="1">
      <alignment vertical="center" wrapText="1"/>
    </xf>
    <xf numFmtId="167" fontId="18" fillId="0" borderId="12" xfId="2" applyNumberFormat="1" applyFont="1" applyFill="1" applyBorder="1" applyAlignment="1">
      <alignment horizontal="center" vertical="center" wrapText="1"/>
    </xf>
    <xf numFmtId="167" fontId="20" fillId="0" borderId="12" xfId="2" applyNumberFormat="1" applyFont="1" applyBorder="1" applyAlignment="1">
      <alignment horizontal="center" vertical="center" wrapText="1"/>
    </xf>
    <xf numFmtId="167" fontId="20" fillId="0" borderId="12" xfId="2" applyNumberFormat="1" applyFont="1" applyFill="1" applyBorder="1" applyAlignment="1">
      <alignment vertical="center" wrapText="1"/>
    </xf>
    <xf numFmtId="167" fontId="10" fillId="13" borderId="21" xfId="2" applyNumberFormat="1" applyFont="1" applyFill="1" applyBorder="1" applyAlignment="1">
      <alignment horizontal="center"/>
    </xf>
    <xf numFmtId="167" fontId="10" fillId="13" borderId="11" xfId="2" applyNumberFormat="1" applyFont="1" applyFill="1" applyBorder="1" applyAlignment="1">
      <alignment horizontal="center"/>
    </xf>
    <xf numFmtId="167" fontId="18" fillId="13" borderId="11" xfId="2" applyNumberFormat="1" applyFont="1" applyFill="1" applyBorder="1" applyAlignment="1">
      <alignment horizontal="center" vertical="center"/>
    </xf>
    <xf numFmtId="167" fontId="10" fillId="13" borderId="11" xfId="2" applyNumberFormat="1" applyFont="1" applyFill="1" applyBorder="1" applyAlignment="1">
      <alignment horizontal="center" vertical="center"/>
    </xf>
    <xf numFmtId="167" fontId="13" fillId="0" borderId="23" xfId="2" applyNumberFormat="1" applyFont="1" applyBorder="1" applyAlignment="1">
      <alignment wrapText="1"/>
    </xf>
    <xf numFmtId="167" fontId="20" fillId="0" borderId="11" xfId="2" applyNumberFormat="1" applyFont="1" applyBorder="1" applyAlignment="1">
      <alignment vertical="center" wrapText="1"/>
    </xf>
    <xf numFmtId="167" fontId="18" fillId="18" borderId="11" xfId="2" applyNumberFormat="1" applyFont="1" applyFill="1" applyBorder="1" applyAlignment="1">
      <alignment vertical="center"/>
    </xf>
    <xf numFmtId="167" fontId="18" fillId="5" borderId="11" xfId="2" applyNumberFormat="1" applyFont="1" applyFill="1" applyBorder="1" applyAlignment="1">
      <alignment vertical="center"/>
    </xf>
    <xf numFmtId="167" fontId="18" fillId="12" borderId="11" xfId="2" applyNumberFormat="1" applyFont="1" applyFill="1" applyBorder="1" applyAlignment="1">
      <alignment vertical="center"/>
    </xf>
    <xf numFmtId="167" fontId="18" fillId="0" borderId="11" xfId="2" applyNumberFormat="1" applyFont="1" applyFill="1" applyBorder="1" applyAlignment="1" applyProtection="1">
      <alignment horizontal="center" vertical="center" wrapText="1"/>
      <protection locked="0"/>
    </xf>
    <xf numFmtId="167" fontId="18" fillId="0" borderId="11" xfId="2" applyNumberFormat="1" applyFont="1" applyFill="1" applyBorder="1" applyAlignment="1">
      <alignment horizontal="center" vertical="center"/>
    </xf>
    <xf numFmtId="167" fontId="20" fillId="0" borderId="11" xfId="2" applyNumberFormat="1" applyFont="1" applyBorder="1" applyAlignment="1">
      <alignment horizontal="center" vertical="center" wrapText="1"/>
    </xf>
    <xf numFmtId="167" fontId="20" fillId="0" borderId="24" xfId="2" applyNumberFormat="1" applyFont="1" applyBorder="1" applyAlignment="1">
      <alignment vertical="top" wrapText="1"/>
    </xf>
    <xf numFmtId="167" fontId="19" fillId="0" borderId="11" xfId="2" applyNumberFormat="1" applyFont="1" applyBorder="1" applyAlignment="1">
      <alignment vertical="center" wrapText="1"/>
    </xf>
    <xf numFmtId="167" fontId="20" fillId="0" borderId="0" xfId="2" applyNumberFormat="1" applyFont="1" applyBorder="1" applyAlignment="1">
      <alignment vertical="center" wrapText="1"/>
    </xf>
    <xf numFmtId="167" fontId="19" fillId="0" borderId="13" xfId="2" applyNumberFormat="1" applyFont="1" applyBorder="1" applyAlignment="1">
      <alignment vertical="center" wrapText="1"/>
    </xf>
    <xf numFmtId="167" fontId="18" fillId="18" borderId="13" xfId="2" applyNumberFormat="1" applyFont="1" applyFill="1" applyBorder="1" applyAlignment="1">
      <alignment vertical="center"/>
    </xf>
    <xf numFmtId="167" fontId="18" fillId="5" borderId="13" xfId="2" applyNumberFormat="1" applyFont="1" applyFill="1" applyBorder="1" applyAlignment="1">
      <alignment vertical="center"/>
    </xf>
    <xf numFmtId="167" fontId="18" fillId="12" borderId="13" xfId="2" applyNumberFormat="1" applyFont="1" applyFill="1" applyBorder="1" applyAlignment="1">
      <alignment vertical="center"/>
    </xf>
    <xf numFmtId="167" fontId="18" fillId="0" borderId="13" xfId="2" applyNumberFormat="1" applyFont="1" applyFill="1" applyBorder="1" applyAlignment="1" applyProtection="1">
      <alignment horizontal="center" vertical="center" wrapText="1"/>
      <protection locked="0"/>
    </xf>
    <xf numFmtId="167" fontId="18" fillId="0" borderId="13" xfId="2" applyNumberFormat="1" applyFont="1" applyFill="1" applyBorder="1" applyAlignment="1">
      <alignment horizontal="center" vertical="center"/>
    </xf>
    <xf numFmtId="167" fontId="20" fillId="0" borderId="13" xfId="2" applyNumberFormat="1" applyFont="1" applyBorder="1" applyAlignment="1">
      <alignment vertical="center" wrapText="1"/>
    </xf>
    <xf numFmtId="167" fontId="20" fillId="0" borderId="13" xfId="2" applyNumberFormat="1" applyFont="1" applyBorder="1" applyAlignment="1">
      <alignment horizontal="center" vertical="center" wrapText="1"/>
    </xf>
    <xf numFmtId="167" fontId="19" fillId="5" borderId="10" xfId="2" applyNumberFormat="1" applyFont="1" applyFill="1" applyBorder="1" applyAlignment="1">
      <alignment horizontal="center" vertical="center" wrapText="1"/>
    </xf>
    <xf numFmtId="167" fontId="20" fillId="5" borderId="1" xfId="2" applyNumberFormat="1" applyFont="1" applyFill="1" applyBorder="1" applyAlignment="1">
      <alignment vertical="center" wrapText="1"/>
    </xf>
    <xf numFmtId="167" fontId="19" fillId="5" borderId="1" xfId="2" applyNumberFormat="1" applyFont="1" applyFill="1" applyBorder="1" applyAlignment="1">
      <alignment vertical="center" wrapText="1"/>
    </xf>
    <xf numFmtId="167" fontId="19" fillId="5" borderId="1" xfId="2" applyNumberFormat="1" applyFont="1" applyFill="1" applyBorder="1" applyAlignment="1">
      <alignment horizontal="center" vertical="center" wrapText="1"/>
    </xf>
    <xf numFmtId="167" fontId="20" fillId="0" borderId="26" xfId="2" applyNumberFormat="1" applyFont="1" applyBorder="1" applyAlignment="1">
      <alignment vertical="center" wrapText="1"/>
    </xf>
    <xf numFmtId="167" fontId="19" fillId="0" borderId="1" xfId="2" applyNumberFormat="1" applyFont="1" applyBorder="1" applyAlignment="1">
      <alignment vertical="center" wrapText="1"/>
    </xf>
    <xf numFmtId="167" fontId="21" fillId="5" borderId="11" xfId="2" applyNumberFormat="1" applyFont="1" applyFill="1" applyBorder="1" applyAlignment="1">
      <alignment vertical="center"/>
    </xf>
    <xf numFmtId="167" fontId="18" fillId="0" borderId="1" xfId="2" applyNumberFormat="1" applyFont="1" applyFill="1" applyBorder="1" applyAlignment="1">
      <alignment horizontal="center" vertical="center"/>
    </xf>
    <xf numFmtId="167" fontId="6" fillId="0" borderId="1" xfId="2" applyNumberFormat="1" applyFont="1" applyBorder="1" applyAlignment="1">
      <alignment vertical="center" wrapText="1"/>
    </xf>
    <xf numFmtId="167" fontId="6" fillId="0" borderId="2" xfId="2" applyNumberFormat="1" applyFont="1" applyBorder="1" applyAlignment="1">
      <alignment vertical="center" wrapText="1"/>
    </xf>
    <xf numFmtId="167" fontId="20" fillId="0" borderId="2" xfId="2" applyNumberFormat="1" applyFont="1" applyBorder="1" applyAlignment="1">
      <alignment horizontal="center" vertical="center" wrapText="1"/>
    </xf>
    <xf numFmtId="167" fontId="20" fillId="0" borderId="1" xfId="2" applyNumberFormat="1" applyFont="1" applyFill="1" applyBorder="1" applyAlignment="1">
      <alignment horizontal="center" wrapText="1"/>
    </xf>
    <xf numFmtId="167" fontId="20" fillId="0" borderId="3" xfId="2" applyNumberFormat="1" applyFont="1" applyFill="1" applyBorder="1" applyAlignment="1">
      <alignment horizontal="center" wrapText="1"/>
    </xf>
    <xf numFmtId="167" fontId="7" fillId="0" borderId="1" xfId="2" applyNumberFormat="1" applyFont="1" applyBorder="1" applyAlignment="1">
      <alignment vertical="center" wrapText="1"/>
    </xf>
    <xf numFmtId="167" fontId="19" fillId="5" borderId="2" xfId="2" applyNumberFormat="1" applyFont="1" applyFill="1" applyBorder="1" applyAlignment="1">
      <alignment horizontal="center" vertical="center" wrapText="1"/>
    </xf>
    <xf numFmtId="167" fontId="18" fillId="0" borderId="11" xfId="2" applyNumberFormat="1" applyFont="1" applyBorder="1" applyAlignment="1" applyProtection="1">
      <alignment horizontal="center" vertical="center" wrapText="1"/>
      <protection locked="0"/>
    </xf>
    <xf numFmtId="167" fontId="19" fillId="9" borderId="1" xfId="2" applyNumberFormat="1" applyFont="1" applyFill="1" applyBorder="1" applyAlignment="1">
      <alignment vertical="center" wrapText="1"/>
    </xf>
    <xf numFmtId="167" fontId="20" fillId="9" borderId="1" xfId="2" applyNumberFormat="1" applyFont="1" applyFill="1" applyBorder="1" applyAlignment="1">
      <alignment vertical="center" wrapText="1"/>
    </xf>
    <xf numFmtId="167" fontId="19" fillId="9" borderId="1" xfId="2" applyNumberFormat="1" applyFont="1" applyFill="1" applyBorder="1" applyAlignment="1">
      <alignment horizontal="center" vertical="center" wrapText="1"/>
    </xf>
    <xf numFmtId="167" fontId="19" fillId="9" borderId="2" xfId="2" applyNumberFormat="1" applyFont="1" applyFill="1" applyBorder="1" applyAlignment="1">
      <alignment horizontal="center" vertical="center" wrapText="1"/>
    </xf>
    <xf numFmtId="167" fontId="19" fillId="0" borderId="2" xfId="2" applyNumberFormat="1" applyFont="1" applyBorder="1" applyAlignment="1">
      <alignment vertical="center" wrapText="1"/>
    </xf>
    <xf numFmtId="167" fontId="7" fillId="0" borderId="2" xfId="2" applyNumberFormat="1" applyFont="1" applyFill="1" applyBorder="1" applyAlignment="1">
      <alignment horizontal="center" vertical="center" wrapText="1"/>
    </xf>
    <xf numFmtId="167" fontId="18" fillId="10" borderId="27" xfId="2" applyNumberFormat="1" applyFont="1" applyFill="1" applyBorder="1" applyAlignment="1">
      <alignment vertical="center"/>
    </xf>
    <xf numFmtId="167" fontId="20" fillId="0" borderId="28" xfId="2" applyNumberFormat="1" applyFont="1" applyBorder="1" applyAlignment="1">
      <alignment horizontal="justify" vertical="center"/>
    </xf>
    <xf numFmtId="167" fontId="7" fillId="0" borderId="4" xfId="2" applyNumberFormat="1" applyFont="1" applyBorder="1" applyAlignment="1">
      <alignment horizontal="left" vertical="center" wrapText="1"/>
    </xf>
    <xf numFmtId="167" fontId="18" fillId="0" borderId="0" xfId="2" applyNumberFormat="1" applyFont="1" applyFill="1" applyBorder="1" applyAlignment="1">
      <alignment horizontal="center" vertical="center"/>
    </xf>
    <xf numFmtId="167" fontId="20" fillId="0" borderId="0" xfId="2" applyNumberFormat="1" applyFont="1" applyBorder="1" applyAlignment="1">
      <alignment horizontal="justify" vertical="center"/>
    </xf>
    <xf numFmtId="167" fontId="20" fillId="0" borderId="23" xfId="2" applyNumberFormat="1" applyFont="1" applyBorder="1" applyAlignment="1">
      <alignment horizontal="justify" vertical="center"/>
    </xf>
    <xf numFmtId="167" fontId="20" fillId="5" borderId="1" xfId="2" applyNumberFormat="1" applyFont="1" applyFill="1" applyBorder="1" applyAlignment="1">
      <alignment horizontal="center" vertical="center" wrapText="1"/>
    </xf>
    <xf numFmtId="167" fontId="18" fillId="10" borderId="29" xfId="2" applyNumberFormat="1" applyFont="1" applyFill="1" applyBorder="1" applyAlignment="1">
      <alignment vertical="center"/>
    </xf>
    <xf numFmtId="167" fontId="18" fillId="6" borderId="0" xfId="2" applyNumberFormat="1" applyFont="1" applyFill="1"/>
    <xf numFmtId="167" fontId="19" fillId="8" borderId="1" xfId="2" applyNumberFormat="1" applyFont="1" applyFill="1" applyBorder="1" applyAlignment="1">
      <alignment vertical="center" wrapText="1"/>
    </xf>
    <xf numFmtId="167" fontId="20" fillId="8" borderId="1" xfId="2" applyNumberFormat="1" applyFont="1" applyFill="1" applyBorder="1" applyAlignment="1">
      <alignment vertical="center" wrapText="1"/>
    </xf>
    <xf numFmtId="167" fontId="19" fillId="8" borderId="1" xfId="2" applyNumberFormat="1" applyFont="1" applyFill="1" applyBorder="1" applyAlignment="1">
      <alignment horizontal="center" vertical="center" wrapText="1"/>
    </xf>
    <xf numFmtId="167" fontId="19" fillId="8" borderId="2" xfId="2" applyNumberFormat="1" applyFont="1" applyFill="1" applyBorder="1" applyAlignment="1">
      <alignment horizontal="center" vertical="center" wrapText="1"/>
    </xf>
    <xf numFmtId="167" fontId="20" fillId="18" borderId="1" xfId="2" applyNumberFormat="1" applyFont="1" applyFill="1" applyBorder="1" applyAlignment="1">
      <alignment vertical="center" wrapText="1"/>
    </xf>
    <xf numFmtId="167" fontId="20" fillId="12" borderId="1" xfId="2" applyNumberFormat="1" applyFont="1" applyFill="1" applyBorder="1" applyAlignment="1">
      <alignment vertical="center" wrapText="1"/>
    </xf>
    <xf numFmtId="167" fontId="19" fillId="0" borderId="2" xfId="2" applyNumberFormat="1" applyFont="1" applyFill="1" applyBorder="1" applyAlignment="1">
      <alignment horizontal="center" vertical="center" wrapText="1"/>
    </xf>
    <xf numFmtId="167" fontId="20" fillId="0" borderId="1" xfId="2" applyNumberFormat="1" applyFont="1" applyBorder="1" applyAlignment="1">
      <alignment vertical="center" wrapText="1"/>
    </xf>
    <xf numFmtId="167" fontId="20" fillId="0" borderId="1" xfId="2" applyNumberFormat="1" applyFont="1" applyBorder="1" applyAlignment="1">
      <alignment horizontal="center" vertical="center" wrapText="1"/>
    </xf>
    <xf numFmtId="167" fontId="6" fillId="18" borderId="2" xfId="2" applyNumberFormat="1" applyFont="1" applyFill="1" applyBorder="1" applyAlignment="1">
      <alignment vertical="center" wrapText="1"/>
    </xf>
    <xf numFmtId="167" fontId="6" fillId="5" borderId="2" xfId="2" applyNumberFormat="1" applyFont="1" applyFill="1" applyBorder="1" applyAlignment="1">
      <alignment vertical="center" wrapText="1"/>
    </xf>
    <xf numFmtId="167" fontId="20" fillId="0" borderId="5" xfId="2" applyNumberFormat="1" applyFont="1" applyBorder="1" applyAlignment="1">
      <alignment vertical="center"/>
    </xf>
    <xf numFmtId="167" fontId="19" fillId="0" borderId="5" xfId="2" applyNumberFormat="1" applyFont="1" applyBorder="1" applyAlignment="1">
      <alignment vertical="center"/>
    </xf>
    <xf numFmtId="167" fontId="20" fillId="0" borderId="5" xfId="2" applyNumberFormat="1" applyFont="1" applyBorder="1" applyAlignment="1">
      <alignment vertical="center" wrapText="1"/>
    </xf>
    <xf numFmtId="167" fontId="7" fillId="5" borderId="1" xfId="2" applyNumberFormat="1" applyFont="1" applyFill="1" applyBorder="1" applyAlignment="1">
      <alignment vertical="center" wrapText="1"/>
    </xf>
    <xf numFmtId="167" fontId="6" fillId="5" borderId="1" xfId="2" applyNumberFormat="1" applyFont="1" applyFill="1" applyBorder="1" applyAlignment="1">
      <alignment vertical="center" wrapText="1"/>
    </xf>
    <xf numFmtId="167" fontId="7" fillId="5" borderId="1" xfId="2" applyNumberFormat="1" applyFont="1" applyFill="1" applyBorder="1" applyAlignment="1">
      <alignment horizontal="center" vertical="center" wrapText="1"/>
    </xf>
    <xf numFmtId="167" fontId="20" fillId="0" borderId="2" xfId="2" applyNumberFormat="1" applyFont="1" applyBorder="1" applyAlignment="1">
      <alignment vertical="center" wrapText="1"/>
    </xf>
    <xf numFmtId="167" fontId="19" fillId="14" borderId="1" xfId="2" applyNumberFormat="1" applyFont="1" applyFill="1" applyBorder="1" applyAlignment="1">
      <alignment vertical="center" wrapText="1"/>
    </xf>
    <xf numFmtId="167" fontId="20" fillId="14" borderId="1" xfId="2" applyNumberFormat="1" applyFont="1" applyFill="1" applyBorder="1" applyAlignment="1">
      <alignment vertical="center" wrapText="1"/>
    </xf>
    <xf numFmtId="167" fontId="19" fillId="14" borderId="1" xfId="2" applyNumberFormat="1" applyFont="1" applyFill="1" applyBorder="1" applyAlignment="1">
      <alignment horizontal="center" vertical="center" wrapText="1"/>
    </xf>
    <xf numFmtId="167" fontId="19" fillId="14" borderId="2" xfId="2" applyNumberFormat="1" applyFont="1" applyFill="1" applyBorder="1" applyAlignment="1">
      <alignment horizontal="center" vertical="center" wrapText="1"/>
    </xf>
    <xf numFmtId="167" fontId="7" fillId="19" borderId="1" xfId="2" applyNumberFormat="1" applyFont="1" applyFill="1" applyBorder="1" applyAlignment="1">
      <alignment horizontal="center" vertical="center" wrapText="1"/>
    </xf>
    <xf numFmtId="167" fontId="11" fillId="15" borderId="30" xfId="2" applyNumberFormat="1" applyFont="1" applyFill="1" applyBorder="1" applyAlignment="1">
      <alignment horizontal="center" vertical="center" wrapText="1"/>
    </xf>
    <xf numFmtId="167" fontId="18" fillId="0" borderId="0" xfId="2" applyNumberFormat="1" applyFont="1" applyFill="1" applyAlignment="1">
      <alignment horizontal="center"/>
    </xf>
    <xf numFmtId="167" fontId="18" fillId="0" borderId="0" xfId="2" applyNumberFormat="1" applyFont="1" applyFill="1"/>
    <xf numFmtId="167" fontId="10" fillId="20" borderId="5" xfId="2" applyNumberFormat="1" applyFont="1" applyFill="1" applyBorder="1" applyAlignment="1">
      <alignment horizontal="center" vertical="center" wrapText="1"/>
    </xf>
    <xf numFmtId="167" fontId="10" fillId="20" borderId="16" xfId="2" applyNumberFormat="1" applyFont="1" applyFill="1" applyBorder="1" applyAlignment="1">
      <alignment horizontal="center" vertical="center"/>
    </xf>
    <xf numFmtId="167" fontId="18" fillId="20" borderId="4" xfId="2" applyNumberFormat="1" applyFont="1" applyFill="1" applyBorder="1" applyAlignment="1">
      <alignment horizontal="center" vertical="center" wrapText="1"/>
    </xf>
    <xf numFmtId="167" fontId="10" fillId="20" borderId="17" xfId="2" applyNumberFormat="1" applyFont="1" applyFill="1" applyBorder="1" applyAlignment="1">
      <alignment horizontal="center" vertical="center" wrapText="1"/>
    </xf>
    <xf numFmtId="167" fontId="10" fillId="0" borderId="1" xfId="2" applyNumberFormat="1" applyFont="1" applyFill="1" applyBorder="1" applyAlignment="1">
      <alignment horizontal="center" vertical="center" wrapText="1"/>
    </xf>
    <xf numFmtId="167" fontId="10" fillId="0" borderId="17" xfId="2" applyNumberFormat="1" applyFont="1" applyFill="1" applyBorder="1" applyAlignment="1">
      <alignment horizontal="center" vertical="center" wrapText="1"/>
    </xf>
    <xf numFmtId="167" fontId="10" fillId="20" borderId="4" xfId="2" applyNumberFormat="1" applyFont="1" applyFill="1" applyBorder="1" applyAlignment="1">
      <alignment horizontal="center" vertical="center" wrapText="1"/>
    </xf>
    <xf numFmtId="167" fontId="10" fillId="20" borderId="18" xfId="2" applyNumberFormat="1" applyFont="1" applyFill="1" applyBorder="1" applyAlignment="1">
      <alignment horizontal="center" vertical="center" wrapText="1"/>
    </xf>
    <xf numFmtId="167" fontId="10" fillId="0" borderId="16" xfId="2" applyNumberFormat="1" applyFont="1" applyBorder="1" applyAlignment="1">
      <alignment horizontal="center" vertical="center"/>
    </xf>
    <xf numFmtId="167" fontId="18" fillId="0" borderId="4" xfId="2" applyNumberFormat="1" applyFont="1" applyFill="1" applyBorder="1" applyAlignment="1">
      <alignment horizontal="center" vertical="center"/>
    </xf>
    <xf numFmtId="167" fontId="10" fillId="0" borderId="17" xfId="2" applyNumberFormat="1" applyFont="1" applyFill="1" applyBorder="1" applyAlignment="1">
      <alignment horizontal="center" vertical="center"/>
    </xf>
    <xf numFmtId="167" fontId="10" fillId="7" borderId="1" xfId="2" applyNumberFormat="1" applyFont="1" applyFill="1" applyBorder="1" applyAlignment="1">
      <alignment horizontal="center" vertical="center"/>
    </xf>
    <xf numFmtId="167" fontId="10" fillId="7" borderId="17" xfId="2" applyNumberFormat="1" applyFont="1" applyFill="1" applyBorder="1" applyAlignment="1">
      <alignment horizontal="center" vertical="center"/>
    </xf>
    <xf numFmtId="167" fontId="18" fillId="0" borderId="0" xfId="2" applyNumberFormat="1" applyFont="1" applyAlignment="1">
      <alignment horizontal="left"/>
    </xf>
    <xf numFmtId="167" fontId="18" fillId="12" borderId="13" xfId="2" applyNumberFormat="1" applyFont="1" applyFill="1" applyBorder="1" applyAlignment="1">
      <alignment horizontal="right" vertical="center"/>
    </xf>
    <xf numFmtId="167" fontId="6" fillId="0" borderId="8" xfId="2" applyNumberFormat="1" applyFont="1" applyBorder="1" applyAlignment="1">
      <alignment vertical="center" wrapText="1"/>
    </xf>
    <xf numFmtId="167" fontId="18" fillId="18" borderId="31" xfId="2" applyNumberFormat="1" applyFont="1" applyFill="1" applyBorder="1" applyAlignment="1">
      <alignment vertical="center"/>
    </xf>
    <xf numFmtId="167" fontId="18" fillId="5" borderId="31" xfId="2" applyNumberFormat="1" applyFont="1" applyFill="1" applyBorder="1" applyAlignment="1">
      <alignment vertical="center"/>
    </xf>
    <xf numFmtId="167" fontId="18" fillId="12" borderId="31" xfId="2" applyNumberFormat="1" applyFont="1" applyFill="1" applyBorder="1" applyAlignment="1">
      <alignment horizontal="right" vertical="center"/>
    </xf>
    <xf numFmtId="167" fontId="18" fillId="18" borderId="32" xfId="2" applyNumberFormat="1" applyFont="1" applyFill="1" applyBorder="1" applyAlignment="1">
      <alignment vertical="center"/>
    </xf>
    <xf numFmtId="167" fontId="18" fillId="5" borderId="15" xfId="2" applyNumberFormat="1" applyFont="1" applyFill="1" applyBorder="1" applyAlignment="1">
      <alignment vertical="center"/>
    </xf>
    <xf numFmtId="167" fontId="18" fillId="12" borderId="15" xfId="2" applyNumberFormat="1" applyFont="1" applyFill="1" applyBorder="1" applyAlignment="1">
      <alignment horizontal="right" vertical="center"/>
    </xf>
    <xf numFmtId="167" fontId="18" fillId="0" borderId="33" xfId="2" applyNumberFormat="1" applyFont="1" applyFill="1" applyBorder="1" applyAlignment="1">
      <alignment horizontal="center" vertical="center"/>
    </xf>
    <xf numFmtId="167" fontId="20" fillId="12" borderId="2" xfId="2" applyNumberFormat="1" applyFont="1" applyFill="1" applyBorder="1" applyAlignment="1">
      <alignment vertical="center" wrapText="1"/>
    </xf>
    <xf numFmtId="167" fontId="18" fillId="18" borderId="15" xfId="2" applyNumberFormat="1" applyFont="1" applyFill="1" applyBorder="1" applyAlignment="1">
      <alignment vertical="center"/>
    </xf>
    <xf numFmtId="167" fontId="18" fillId="0" borderId="10" xfId="2" applyNumberFormat="1" applyFont="1" applyFill="1" applyBorder="1" applyAlignment="1">
      <alignment horizontal="center" vertical="center"/>
    </xf>
    <xf numFmtId="167" fontId="18" fillId="11" borderId="15" xfId="2" applyNumberFormat="1" applyFont="1" applyFill="1" applyBorder="1" applyAlignment="1">
      <alignment horizontal="right" vertical="center"/>
    </xf>
    <xf numFmtId="167" fontId="7" fillId="0" borderId="8" xfId="2" applyNumberFormat="1" applyFont="1" applyBorder="1" applyAlignment="1">
      <alignment horizontal="left" vertical="center" wrapText="1"/>
    </xf>
    <xf numFmtId="167" fontId="18" fillId="18" borderId="34" xfId="2" applyNumberFormat="1" applyFont="1" applyFill="1" applyBorder="1" applyAlignment="1">
      <alignment vertical="center"/>
    </xf>
    <xf numFmtId="167" fontId="18" fillId="12" borderId="34" xfId="2" applyNumberFormat="1" applyFont="1" applyFill="1" applyBorder="1" applyAlignment="1">
      <alignment horizontal="right" vertical="center"/>
    </xf>
    <xf numFmtId="167" fontId="7" fillId="0" borderId="1" xfId="2" applyNumberFormat="1" applyFont="1" applyBorder="1" applyAlignment="1">
      <alignment horizontal="left" vertical="center" wrapText="1"/>
    </xf>
    <xf numFmtId="167" fontId="18" fillId="5" borderId="35" xfId="2" applyNumberFormat="1" applyFont="1" applyFill="1" applyBorder="1" applyAlignment="1">
      <alignment vertical="center"/>
    </xf>
    <xf numFmtId="167" fontId="18" fillId="5" borderId="29" xfId="2" applyNumberFormat="1" applyFont="1" applyFill="1" applyBorder="1" applyAlignment="1">
      <alignment vertical="center"/>
    </xf>
    <xf numFmtId="167" fontId="18" fillId="5" borderId="36" xfId="2" applyNumberFormat="1" applyFont="1" applyFill="1" applyBorder="1" applyAlignment="1">
      <alignment vertical="center"/>
    </xf>
    <xf numFmtId="167" fontId="18" fillId="18" borderId="1" xfId="2" applyNumberFormat="1" applyFont="1" applyFill="1" applyBorder="1" applyAlignment="1">
      <alignment vertical="center"/>
    </xf>
    <xf numFmtId="167" fontId="18" fillId="18" borderId="8" xfId="2" applyNumberFormat="1" applyFont="1" applyFill="1" applyBorder="1" applyAlignment="1">
      <alignment vertical="center"/>
    </xf>
    <xf numFmtId="167" fontId="18" fillId="18" borderId="2" xfId="2" applyNumberFormat="1" applyFont="1" applyFill="1" applyBorder="1" applyAlignment="1">
      <alignment vertical="center"/>
    </xf>
    <xf numFmtId="167" fontId="18" fillId="5" borderId="37" xfId="2" applyNumberFormat="1" applyFont="1" applyFill="1" applyBorder="1" applyAlignment="1">
      <alignment vertical="center"/>
    </xf>
    <xf numFmtId="167" fontId="18" fillId="5" borderId="7" xfId="2" applyNumberFormat="1" applyFont="1" applyFill="1" applyBorder="1" applyAlignment="1">
      <alignment vertical="center"/>
    </xf>
    <xf numFmtId="167" fontId="18" fillId="5" borderId="38" xfId="2" applyNumberFormat="1" applyFont="1" applyFill="1" applyBorder="1" applyAlignment="1">
      <alignment vertical="center"/>
    </xf>
    <xf numFmtId="167" fontId="18" fillId="0" borderId="33" xfId="2" applyNumberFormat="1" applyFont="1" applyFill="1" applyBorder="1" applyAlignment="1" applyProtection="1">
      <alignment horizontal="center" vertical="center" wrapText="1"/>
      <protection locked="0"/>
    </xf>
    <xf numFmtId="167" fontId="18" fillId="0" borderId="0" xfId="2" applyNumberFormat="1" applyFont="1" applyFill="1" applyBorder="1" applyAlignment="1" applyProtection="1">
      <alignment horizontal="center" vertical="center" wrapText="1"/>
      <protection locked="0"/>
    </xf>
    <xf numFmtId="167" fontId="18" fillId="0" borderId="28" xfId="2" applyNumberFormat="1" applyFont="1" applyFill="1" applyBorder="1" applyAlignment="1" applyProtection="1">
      <alignment horizontal="center" vertical="center" wrapText="1"/>
      <protection locked="0"/>
    </xf>
    <xf numFmtId="167" fontId="18" fillId="12" borderId="1" xfId="2" applyNumberFormat="1" applyFont="1" applyFill="1" applyBorder="1" applyAlignment="1">
      <alignment vertical="center"/>
    </xf>
    <xf numFmtId="167" fontId="18" fillId="12" borderId="8" xfId="2" applyNumberFormat="1" applyFont="1" applyFill="1" applyBorder="1" applyAlignment="1">
      <alignment vertical="center"/>
    </xf>
    <xf numFmtId="167" fontId="18" fillId="12" borderId="2" xfId="2" applyNumberFormat="1" applyFont="1" applyFill="1" applyBorder="1" applyAlignment="1">
      <alignment vertical="center"/>
    </xf>
    <xf numFmtId="167" fontId="18" fillId="5" borderId="14" xfId="2" applyNumberFormat="1" applyFont="1" applyFill="1" applyBorder="1" applyAlignment="1">
      <alignment vertical="center"/>
    </xf>
    <xf numFmtId="167" fontId="18" fillId="12" borderId="39" xfId="2" applyNumberFormat="1" applyFont="1" applyFill="1" applyBorder="1" applyAlignment="1">
      <alignment vertical="center"/>
    </xf>
    <xf numFmtId="167" fontId="18" fillId="12" borderId="40" xfId="2" applyNumberFormat="1" applyFont="1" applyFill="1" applyBorder="1" applyAlignment="1">
      <alignment vertical="center"/>
    </xf>
    <xf numFmtId="167" fontId="18" fillId="12" borderId="41" xfId="2" applyNumberFormat="1" applyFont="1" applyFill="1" applyBorder="1" applyAlignment="1">
      <alignment vertical="center"/>
    </xf>
    <xf numFmtId="167" fontId="18" fillId="0" borderId="42" xfId="2" applyNumberFormat="1" applyFont="1" applyFill="1" applyBorder="1" applyAlignment="1" applyProtection="1">
      <alignment horizontal="center" vertical="center" wrapText="1"/>
      <protection locked="0"/>
    </xf>
    <xf numFmtId="167" fontId="18" fillId="5" borderId="24" xfId="2" applyNumberFormat="1" applyFont="1" applyFill="1" applyBorder="1" applyAlignment="1">
      <alignment vertical="center"/>
    </xf>
    <xf numFmtId="167" fontId="18" fillId="18" borderId="40" xfId="2" applyNumberFormat="1" applyFont="1" applyFill="1" applyBorder="1" applyAlignment="1">
      <alignment vertical="center"/>
    </xf>
    <xf numFmtId="167" fontId="18" fillId="18" borderId="41" xfId="2" applyNumberFormat="1" applyFont="1" applyFill="1" applyBorder="1" applyAlignment="1">
      <alignment vertical="center"/>
    </xf>
    <xf numFmtId="167" fontId="10" fillId="16" borderId="1" xfId="2" applyNumberFormat="1" applyFont="1" applyFill="1" applyBorder="1" applyAlignment="1">
      <alignment horizontal="center" vertical="center"/>
    </xf>
    <xf numFmtId="0" fontId="19" fillId="9" borderId="1" xfId="2" applyNumberFormat="1" applyFont="1" applyFill="1" applyBorder="1" applyAlignment="1">
      <alignment horizontal="center" vertical="center" wrapText="1"/>
    </xf>
    <xf numFmtId="0" fontId="18" fillId="12" borderId="11" xfId="2" applyNumberFormat="1" applyFont="1" applyFill="1" applyBorder="1" applyAlignment="1">
      <alignment horizontal="right" vertical="center"/>
    </xf>
    <xf numFmtId="0" fontId="18" fillId="18" borderId="39" xfId="2" applyNumberFormat="1" applyFont="1" applyFill="1" applyBorder="1" applyAlignment="1">
      <alignment horizontal="right" vertical="center"/>
    </xf>
    <xf numFmtId="0" fontId="18" fillId="0" borderId="1" xfId="2" applyNumberFormat="1" applyFont="1" applyFill="1" applyBorder="1" applyAlignment="1">
      <alignment horizontal="center" vertical="center"/>
    </xf>
    <xf numFmtId="4" fontId="18" fillId="5" borderId="24" xfId="2" applyNumberFormat="1" applyFont="1" applyFill="1" applyBorder="1" applyAlignment="1">
      <alignment horizontal="right" vertical="center"/>
    </xf>
    <xf numFmtId="0" fontId="18" fillId="18" borderId="11" xfId="2" applyNumberFormat="1" applyFont="1" applyFill="1" applyBorder="1" applyAlignment="1">
      <alignment vertical="center"/>
    </xf>
    <xf numFmtId="168" fontId="0" fillId="0" borderId="0" xfId="0" applyNumberFormat="1"/>
    <xf numFmtId="9" fontId="0" fillId="0" borderId="0" xfId="4" applyFont="1"/>
    <xf numFmtId="0" fontId="13" fillId="0" borderId="23" xfId="2" applyNumberFormat="1" applyFont="1" applyBorder="1" applyAlignment="1">
      <alignment vertical="top" wrapText="1"/>
    </xf>
    <xf numFmtId="0" fontId="0" fillId="6" borderId="0" xfId="0" applyFill="1" applyBorder="1"/>
    <xf numFmtId="10" fontId="8" fillId="6" borderId="0" xfId="4" applyNumberFormat="1" applyFont="1" applyFill="1" applyBorder="1" applyAlignment="1">
      <alignment horizontal="center" vertical="center"/>
    </xf>
    <xf numFmtId="168" fontId="8" fillId="6" borderId="0" xfId="4" applyNumberFormat="1" applyFont="1" applyFill="1" applyBorder="1" applyAlignment="1">
      <alignment horizontal="center" vertical="center"/>
    </xf>
    <xf numFmtId="9" fontId="8" fillId="6" borderId="0" xfId="4" applyFont="1" applyFill="1" applyBorder="1" applyAlignment="1">
      <alignment horizontal="center" vertical="center"/>
    </xf>
    <xf numFmtId="9" fontId="8" fillId="6" borderId="0" xfId="4" applyFont="1" applyFill="1" applyBorder="1"/>
    <xf numFmtId="0" fontId="18" fillId="0" borderId="0" xfId="2" applyNumberFormat="1" applyFont="1"/>
    <xf numFmtId="0" fontId="20" fillId="0" borderId="20" xfId="2" applyNumberFormat="1" applyFont="1" applyFill="1" applyBorder="1" applyAlignment="1">
      <alignment vertical="center" wrapText="1"/>
    </xf>
    <xf numFmtId="0" fontId="10" fillId="3" borderId="22" xfId="2" applyNumberFormat="1" applyFont="1" applyFill="1" applyBorder="1" applyAlignment="1">
      <alignment horizontal="center"/>
    </xf>
    <xf numFmtId="0" fontId="20" fillId="0" borderId="22" xfId="2" applyNumberFormat="1" applyFont="1" applyBorder="1" applyAlignment="1">
      <alignment horizontal="left" vertical="center" wrapText="1"/>
    </xf>
    <xf numFmtId="0" fontId="20" fillId="0" borderId="25" xfId="2" applyNumberFormat="1" applyFont="1" applyBorder="1" applyAlignment="1">
      <alignment horizontal="left" vertical="center" wrapText="1"/>
    </xf>
    <xf numFmtId="0" fontId="19" fillId="5" borderId="1" xfId="2" applyNumberFormat="1" applyFont="1" applyFill="1" applyBorder="1" applyAlignment="1">
      <alignment vertical="center" wrapText="1"/>
    </xf>
    <xf numFmtId="0" fontId="20" fillId="0" borderId="1" xfId="2" applyNumberFormat="1" applyFont="1" applyBorder="1" applyAlignment="1">
      <alignment horizontal="left" vertical="center" wrapText="1"/>
    </xf>
    <xf numFmtId="0" fontId="6" fillId="0" borderId="1" xfId="2" applyNumberFormat="1" applyFont="1" applyBorder="1" applyAlignment="1">
      <alignment horizontal="left" vertical="center" wrapText="1"/>
    </xf>
    <xf numFmtId="0" fontId="20" fillId="6" borderId="1" xfId="2" applyNumberFormat="1" applyFont="1" applyFill="1" applyBorder="1" applyAlignment="1">
      <alignment vertical="center" wrapText="1"/>
    </xf>
    <xf numFmtId="0" fontId="20" fillId="9" borderId="1" xfId="2" applyNumberFormat="1" applyFont="1" applyFill="1" applyBorder="1" applyAlignment="1">
      <alignment vertical="center" wrapText="1"/>
    </xf>
    <xf numFmtId="0" fontId="19" fillId="8" borderId="1" xfId="2" applyNumberFormat="1" applyFont="1" applyFill="1" applyBorder="1" applyAlignment="1">
      <alignment vertical="center" wrapText="1"/>
    </xf>
    <xf numFmtId="0" fontId="19" fillId="5" borderId="4" xfId="2" applyNumberFormat="1" applyFont="1" applyFill="1" applyBorder="1" applyAlignment="1">
      <alignment vertical="center" wrapText="1"/>
    </xf>
    <xf numFmtId="0" fontId="19" fillId="0" borderId="22" xfId="2" applyNumberFormat="1" applyFont="1" applyBorder="1" applyAlignment="1">
      <alignment vertical="center" wrapText="1"/>
    </xf>
    <xf numFmtId="0" fontId="19" fillId="5" borderId="2" xfId="2" applyNumberFormat="1" applyFont="1" applyFill="1" applyBorder="1" applyAlignment="1">
      <alignment vertical="center" wrapText="1"/>
    </xf>
    <xf numFmtId="0" fontId="20" fillId="0" borderId="1" xfId="2" applyNumberFormat="1" applyFont="1" applyBorder="1" applyAlignment="1">
      <alignment vertical="center" wrapText="1"/>
    </xf>
    <xf numFmtId="0" fontId="18" fillId="14" borderId="1" xfId="2" applyNumberFormat="1" applyFont="1" applyFill="1" applyBorder="1"/>
    <xf numFmtId="0" fontId="18" fillId="0" borderId="11" xfId="2" applyNumberFormat="1" applyFont="1" applyBorder="1" applyAlignment="1" applyProtection="1">
      <alignment horizontal="left" wrapText="1"/>
      <protection locked="0"/>
    </xf>
    <xf numFmtId="166" fontId="14" fillId="7" borderId="3" xfId="1" applyFont="1" applyFill="1" applyBorder="1" applyAlignment="1">
      <alignment horizontal="right" vertical="center" wrapText="1"/>
    </xf>
    <xf numFmtId="0" fontId="10" fillId="0" borderId="0" xfId="0" applyFont="1" applyAlignment="1">
      <alignment horizontal="center" wrapText="1"/>
    </xf>
    <xf numFmtId="0" fontId="0" fillId="3" borderId="4" xfId="0" applyFill="1" applyBorder="1" applyAlignment="1">
      <alignment horizontal="center" vertical="center" wrapText="1"/>
    </xf>
    <xf numFmtId="0" fontId="0" fillId="3" borderId="8" xfId="0" applyFill="1" applyBorder="1" applyAlignment="1">
      <alignment horizontal="center" vertical="center" wrapText="1"/>
    </xf>
    <xf numFmtId="0" fontId="16" fillId="3" borderId="4" xfId="0" applyFont="1" applyFill="1" applyBorder="1" applyAlignment="1">
      <alignment horizontal="center" vertical="center" wrapText="1"/>
    </xf>
    <xf numFmtId="0" fontId="16" fillId="3" borderId="2" xfId="0" applyFont="1" applyFill="1" applyBorder="1" applyAlignment="1">
      <alignment horizontal="center" vertical="center" wrapText="1"/>
    </xf>
    <xf numFmtId="0" fontId="11" fillId="21" borderId="53" xfId="0" applyFont="1" applyFill="1" applyBorder="1" applyAlignment="1">
      <alignment horizontal="center" vertical="center" wrapText="1"/>
    </xf>
    <xf numFmtId="0" fontId="11" fillId="21" borderId="54" xfId="0" applyFont="1" applyFill="1" applyBorder="1" applyAlignment="1">
      <alignment horizontal="center" vertical="center" wrapText="1"/>
    </xf>
    <xf numFmtId="0" fontId="11" fillId="21" borderId="55" xfId="0" applyFont="1" applyFill="1" applyBorder="1" applyAlignment="1">
      <alignment horizontal="center" vertical="center" wrapText="1"/>
    </xf>
    <xf numFmtId="0" fontId="11" fillId="21" borderId="56" xfId="0" applyFont="1" applyFill="1" applyBorder="1" applyAlignment="1">
      <alignment horizontal="center" vertical="center" wrapText="1"/>
    </xf>
    <xf numFmtId="0" fontId="11" fillId="21" borderId="57" xfId="0" applyFont="1" applyFill="1" applyBorder="1" applyAlignment="1">
      <alignment horizontal="center" vertical="center" wrapText="1"/>
    </xf>
    <xf numFmtId="0" fontId="11" fillId="21" borderId="58" xfId="0" applyFont="1" applyFill="1" applyBorder="1" applyAlignment="1">
      <alignment horizontal="center" vertical="center" wrapText="1"/>
    </xf>
    <xf numFmtId="0" fontId="0" fillId="19" borderId="5" xfId="0" applyFill="1" applyBorder="1" applyAlignment="1">
      <alignment horizontal="center"/>
    </xf>
    <xf numFmtId="0" fontId="0" fillId="19" borderId="33" xfId="0" applyFill="1" applyBorder="1" applyAlignment="1">
      <alignment horizontal="center"/>
    </xf>
    <xf numFmtId="0" fontId="0" fillId="19" borderId="10" xfId="0" applyFill="1" applyBorder="1" applyAlignment="1">
      <alignment horizontal="center"/>
    </xf>
    <xf numFmtId="0" fontId="11" fillId="21" borderId="59" xfId="0" applyFont="1" applyFill="1" applyBorder="1" applyAlignment="1">
      <alignment horizontal="center" vertical="center" wrapText="1"/>
    </xf>
    <xf numFmtId="167" fontId="19" fillId="0" borderId="0" xfId="2" applyNumberFormat="1" applyFont="1" applyAlignment="1">
      <alignment horizontal="center" vertical="center"/>
    </xf>
    <xf numFmtId="167" fontId="18" fillId="10" borderId="0" xfId="2" applyNumberFormat="1" applyFont="1" applyFill="1" applyAlignment="1">
      <alignment horizontal="center" vertical="center"/>
    </xf>
    <xf numFmtId="167" fontId="20" fillId="0" borderId="1" xfId="2" applyNumberFormat="1" applyFont="1" applyBorder="1" applyAlignment="1">
      <alignment horizontal="center" vertical="center" wrapText="1"/>
    </xf>
    <xf numFmtId="167" fontId="18" fillId="10" borderId="18" xfId="2" applyNumberFormat="1" applyFont="1" applyFill="1" applyBorder="1" applyAlignment="1">
      <alignment horizontal="center" vertical="center"/>
    </xf>
    <xf numFmtId="167" fontId="18" fillId="10" borderId="44" xfId="2" applyNumberFormat="1" applyFont="1" applyFill="1" applyBorder="1" applyAlignment="1">
      <alignment horizontal="center" vertical="center"/>
    </xf>
    <xf numFmtId="167" fontId="18" fillId="10" borderId="3" xfId="2" applyNumberFormat="1" applyFont="1" applyFill="1" applyBorder="1" applyAlignment="1">
      <alignment horizontal="center" vertical="center"/>
    </xf>
    <xf numFmtId="167" fontId="20" fillId="5" borderId="5" xfId="2" applyNumberFormat="1" applyFont="1" applyFill="1" applyBorder="1" applyAlignment="1">
      <alignment horizontal="left" vertical="center" wrapText="1"/>
    </xf>
    <xf numFmtId="167" fontId="20" fillId="5" borderId="10" xfId="2" applyNumberFormat="1" applyFont="1" applyFill="1" applyBorder="1" applyAlignment="1">
      <alignment horizontal="left" vertical="center" wrapText="1"/>
    </xf>
    <xf numFmtId="167" fontId="20" fillId="5" borderId="5" xfId="2" applyNumberFormat="1" applyFont="1" applyFill="1" applyBorder="1" applyAlignment="1">
      <alignment horizontal="center" vertical="center" wrapText="1"/>
    </xf>
    <xf numFmtId="167" fontId="20" fillId="5" borderId="10" xfId="2" applyNumberFormat="1" applyFont="1" applyFill="1" applyBorder="1" applyAlignment="1">
      <alignment horizontal="center" vertical="center" wrapText="1"/>
    </xf>
    <xf numFmtId="167" fontId="19" fillId="9" borderId="5" xfId="2" applyNumberFormat="1" applyFont="1" applyFill="1" applyBorder="1" applyAlignment="1">
      <alignment horizontal="center" vertical="center" wrapText="1"/>
    </xf>
    <xf numFmtId="167" fontId="19" fillId="9" borderId="10" xfId="2" applyNumberFormat="1" applyFont="1" applyFill="1" applyBorder="1" applyAlignment="1">
      <alignment horizontal="center" vertical="center" wrapText="1"/>
    </xf>
    <xf numFmtId="167" fontId="19" fillId="8" borderId="5" xfId="2" applyNumberFormat="1" applyFont="1" applyFill="1" applyBorder="1" applyAlignment="1">
      <alignment horizontal="center" vertical="center" wrapText="1"/>
    </xf>
    <xf numFmtId="167" fontId="19" fillId="8" borderId="10" xfId="2" applyNumberFormat="1" applyFont="1" applyFill="1" applyBorder="1" applyAlignment="1">
      <alignment horizontal="center" vertical="center" wrapText="1"/>
    </xf>
    <xf numFmtId="167" fontId="18" fillId="10" borderId="4" xfId="2" applyNumberFormat="1" applyFont="1" applyFill="1" applyBorder="1" applyAlignment="1">
      <alignment horizontal="center" vertical="center"/>
    </xf>
    <xf numFmtId="167" fontId="18" fillId="10" borderId="8" xfId="2" applyNumberFormat="1" applyFont="1" applyFill="1" applyBorder="1" applyAlignment="1">
      <alignment horizontal="center" vertical="center"/>
    </xf>
    <xf numFmtId="167" fontId="18" fillId="10" borderId="2" xfId="2" applyNumberFormat="1" applyFont="1" applyFill="1" applyBorder="1" applyAlignment="1">
      <alignment horizontal="center" vertical="center"/>
    </xf>
    <xf numFmtId="167" fontId="19" fillId="5" borderId="5" xfId="2" applyNumberFormat="1" applyFont="1" applyFill="1" applyBorder="1" applyAlignment="1">
      <alignment horizontal="center" vertical="center" wrapText="1"/>
    </xf>
    <xf numFmtId="167" fontId="19" fillId="5" borderId="10" xfId="2" applyNumberFormat="1" applyFont="1" applyFill="1" applyBorder="1" applyAlignment="1">
      <alignment horizontal="center" vertical="center" wrapText="1"/>
    </xf>
    <xf numFmtId="167" fontId="20" fillId="0" borderId="4" xfId="2" applyNumberFormat="1" applyFont="1" applyBorder="1" applyAlignment="1">
      <alignment horizontal="left" vertical="top" wrapText="1"/>
    </xf>
    <xf numFmtId="167" fontId="20" fillId="0" borderId="8" xfId="2" applyNumberFormat="1" applyFont="1" applyBorder="1" applyAlignment="1">
      <alignment horizontal="left" vertical="top" wrapText="1"/>
    </xf>
    <xf numFmtId="167" fontId="20" fillId="0" borderId="2" xfId="2" applyNumberFormat="1" applyFont="1" applyBorder="1" applyAlignment="1">
      <alignment horizontal="left" vertical="top" wrapText="1"/>
    </xf>
    <xf numFmtId="167" fontId="20" fillId="0" borderId="1" xfId="2" applyNumberFormat="1" applyFont="1" applyBorder="1" applyAlignment="1">
      <alignment horizontal="left" vertical="center" wrapText="1"/>
    </xf>
    <xf numFmtId="167" fontId="19" fillId="15" borderId="43" xfId="2" applyNumberFormat="1" applyFont="1" applyFill="1" applyBorder="1" applyAlignment="1">
      <alignment horizontal="left" vertical="center" wrapText="1"/>
    </xf>
    <xf numFmtId="167" fontId="19" fillId="15" borderId="11" xfId="2" applyNumberFormat="1" applyFont="1" applyFill="1" applyBorder="1" applyAlignment="1">
      <alignment horizontal="left" vertical="center" wrapText="1"/>
    </xf>
    <xf numFmtId="167" fontId="19" fillId="15" borderId="22" xfId="2" applyNumberFormat="1" applyFont="1" applyFill="1" applyBorder="1" applyAlignment="1">
      <alignment horizontal="left" vertical="center" wrapText="1"/>
    </xf>
    <xf numFmtId="167" fontId="20" fillId="0" borderId="39" xfId="2" applyNumberFormat="1" applyFont="1" applyBorder="1" applyAlignment="1">
      <alignment horizontal="left" vertical="top" wrapText="1"/>
    </xf>
    <xf numFmtId="167" fontId="20" fillId="0" borderId="40" xfId="2" applyNumberFormat="1" applyFont="1" applyBorder="1" applyAlignment="1">
      <alignment horizontal="left" vertical="top" wrapText="1"/>
    </xf>
    <xf numFmtId="167" fontId="20" fillId="0" borderId="41" xfId="2" applyNumberFormat="1" applyFont="1" applyBorder="1" applyAlignment="1">
      <alignment horizontal="left" vertical="top" wrapText="1"/>
    </xf>
    <xf numFmtId="167" fontId="20" fillId="0" borderId="16" xfId="2" applyNumberFormat="1" applyFont="1" applyBorder="1" applyAlignment="1">
      <alignment horizontal="left" vertical="center" wrapText="1"/>
    </xf>
    <xf numFmtId="167" fontId="20" fillId="0" borderId="9" xfId="2" applyNumberFormat="1" applyFont="1" applyBorder="1" applyAlignment="1">
      <alignment horizontal="left" vertical="center" wrapText="1"/>
    </xf>
    <xf numFmtId="167" fontId="19" fillId="15" borderId="5" xfId="2" applyNumberFormat="1" applyFont="1" applyFill="1" applyBorder="1" applyAlignment="1">
      <alignment horizontal="left" vertical="center" wrapText="1"/>
    </xf>
    <xf numFmtId="167" fontId="19" fillId="15" borderId="33" xfId="2" applyNumberFormat="1" applyFont="1" applyFill="1" applyBorder="1" applyAlignment="1">
      <alignment horizontal="left" vertical="center" wrapText="1"/>
    </xf>
    <xf numFmtId="167" fontId="19" fillId="15" borderId="10" xfId="2" applyNumberFormat="1" applyFont="1" applyFill="1" applyBorder="1" applyAlignment="1">
      <alignment horizontal="left" vertical="center" wrapText="1"/>
    </xf>
    <xf numFmtId="167" fontId="20" fillId="0" borderId="16" xfId="2" applyNumberFormat="1" applyFont="1" applyBorder="1" applyAlignment="1">
      <alignment horizontal="left" vertical="top" wrapText="1"/>
    </xf>
    <xf numFmtId="167" fontId="20" fillId="0" borderId="9" xfId="2" applyNumberFormat="1" applyFont="1" applyBorder="1" applyAlignment="1">
      <alignment horizontal="left" vertical="top" wrapText="1"/>
    </xf>
    <xf numFmtId="167" fontId="18" fillId="0" borderId="5" xfId="2" applyNumberFormat="1" applyFont="1" applyFill="1" applyBorder="1" applyAlignment="1">
      <alignment horizontal="center" vertical="center"/>
    </xf>
    <xf numFmtId="167" fontId="18" fillId="0" borderId="10" xfId="2" applyNumberFormat="1" applyFont="1" applyFill="1" applyBorder="1" applyAlignment="1">
      <alignment horizontal="center" vertical="center"/>
    </xf>
    <xf numFmtId="167" fontId="10" fillId="7" borderId="5" xfId="2" applyNumberFormat="1" applyFont="1" applyFill="1" applyBorder="1" applyAlignment="1">
      <alignment horizontal="center" vertical="center"/>
    </xf>
    <xf numFmtId="167" fontId="10" fillId="7" borderId="10" xfId="2" applyNumberFormat="1" applyFont="1" applyFill="1" applyBorder="1" applyAlignment="1">
      <alignment horizontal="center" vertical="center"/>
    </xf>
    <xf numFmtId="167" fontId="10" fillId="16" borderId="5" xfId="2" applyNumberFormat="1" applyFont="1" applyFill="1" applyBorder="1" applyAlignment="1">
      <alignment horizontal="center" vertical="center"/>
    </xf>
    <xf numFmtId="167" fontId="10" fillId="16" borderId="10" xfId="2" applyNumberFormat="1" applyFont="1" applyFill="1" applyBorder="1" applyAlignment="1">
      <alignment horizontal="center" vertical="center"/>
    </xf>
    <xf numFmtId="167" fontId="10" fillId="20" borderId="5" xfId="2" applyNumberFormat="1" applyFont="1" applyFill="1" applyBorder="1" applyAlignment="1">
      <alignment horizontal="center" vertical="center" wrapText="1"/>
    </xf>
    <xf numFmtId="167" fontId="10" fillId="20" borderId="10" xfId="2" applyNumberFormat="1" applyFont="1" applyFill="1" applyBorder="1" applyAlignment="1">
      <alignment horizontal="center" vertical="center" wrapText="1"/>
    </xf>
    <xf numFmtId="167" fontId="18" fillId="0" borderId="16" xfId="2" applyNumberFormat="1" applyFont="1" applyFill="1" applyBorder="1" applyAlignment="1">
      <alignment horizontal="center" vertical="center"/>
    </xf>
    <xf numFmtId="167" fontId="18" fillId="0" borderId="18" xfId="2" applyNumberFormat="1" applyFont="1" applyFill="1" applyBorder="1" applyAlignment="1">
      <alignment horizontal="center" vertical="center"/>
    </xf>
    <xf numFmtId="167" fontId="10" fillId="0" borderId="5" xfId="2" applyNumberFormat="1" applyFont="1" applyBorder="1" applyAlignment="1">
      <alignment horizontal="center"/>
    </xf>
    <xf numFmtId="167" fontId="10" fillId="0" borderId="33" xfId="2" applyNumberFormat="1" applyFont="1" applyBorder="1" applyAlignment="1">
      <alignment horizontal="center"/>
    </xf>
    <xf numFmtId="167" fontId="10" fillId="0" borderId="10" xfId="2" applyNumberFormat="1" applyFont="1" applyBorder="1" applyAlignment="1">
      <alignment horizontal="center"/>
    </xf>
    <xf numFmtId="167" fontId="19" fillId="8" borderId="5" xfId="2" applyNumberFormat="1" applyFont="1" applyFill="1" applyBorder="1" applyAlignment="1">
      <alignment horizontal="left" vertical="center" wrapText="1"/>
    </xf>
    <xf numFmtId="167" fontId="19" fillId="8" borderId="10" xfId="2" applyNumberFormat="1" applyFont="1" applyFill="1" applyBorder="1" applyAlignment="1">
      <alignment horizontal="left" vertical="center" wrapText="1"/>
    </xf>
    <xf numFmtId="167" fontId="20" fillId="0" borderId="5" xfId="2" applyNumberFormat="1" applyFont="1" applyBorder="1" applyAlignment="1">
      <alignment horizontal="left" vertical="center" wrapText="1"/>
    </xf>
    <xf numFmtId="167" fontId="20" fillId="0" borderId="10" xfId="2" applyNumberFormat="1" applyFont="1" applyBorder="1" applyAlignment="1">
      <alignment horizontal="left" vertical="center" wrapText="1"/>
    </xf>
    <xf numFmtId="167" fontId="19" fillId="14" borderId="5" xfId="2" applyNumberFormat="1" applyFont="1" applyFill="1" applyBorder="1" applyAlignment="1">
      <alignment horizontal="left" vertical="center" wrapText="1"/>
    </xf>
    <xf numFmtId="167" fontId="19" fillId="14" borderId="10" xfId="2" applyNumberFormat="1" applyFont="1" applyFill="1" applyBorder="1" applyAlignment="1">
      <alignment horizontal="left" vertical="center" wrapText="1"/>
    </xf>
  </cellXfs>
  <cellStyles count="5">
    <cellStyle name="Milliers" xfId="1" builtinId="3"/>
    <cellStyle name="Milliers [0]" xfId="2" builtinId="6"/>
    <cellStyle name="Monétaire" xfId="3" builtinId="4"/>
    <cellStyle name="Normal" xfId="0" builtinId="0"/>
    <cellStyle name="Pourcentage"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8"/>
  <sheetViews>
    <sheetView tabSelected="1" topLeftCell="A22" zoomScale="90" zoomScaleNormal="90" workbookViewId="0">
      <selection activeCell="I5" sqref="I5"/>
    </sheetView>
  </sheetViews>
  <sheetFormatPr baseColWidth="10" defaultColWidth="9.1796875" defaultRowHeight="14.5" x14ac:dyDescent="0.35"/>
  <cols>
    <col min="1" max="1" width="33.81640625" customWidth="1"/>
    <col min="2" max="2" width="15.81640625" customWidth="1"/>
    <col min="3" max="3" width="16.1796875" customWidth="1"/>
    <col min="4" max="4" width="14.453125" customWidth="1"/>
    <col min="5" max="5" width="19.1796875" customWidth="1"/>
    <col min="6" max="6" width="12.54296875" customWidth="1"/>
    <col min="7" max="7" width="13.453125" customWidth="1"/>
    <col min="8" max="8" width="17" customWidth="1"/>
    <col min="9" max="9" width="14.90625" customWidth="1"/>
    <col min="10" max="10" width="12" bestFit="1" customWidth="1"/>
  </cols>
  <sheetData>
    <row r="1" spans="1:10" ht="35" customHeight="1" x14ac:dyDescent="0.35">
      <c r="A1" s="275" t="s">
        <v>137</v>
      </c>
      <c r="B1" s="275"/>
      <c r="C1" s="275"/>
      <c r="D1" s="275"/>
      <c r="E1" s="275"/>
      <c r="F1" s="275"/>
      <c r="G1" s="275"/>
      <c r="H1" s="275"/>
    </row>
    <row r="2" spans="1:10" x14ac:dyDescent="0.35">
      <c r="A2" s="3"/>
      <c r="B2" s="3"/>
      <c r="C2" s="3"/>
      <c r="D2" s="3"/>
    </row>
    <row r="3" spans="1:10" x14ac:dyDescent="0.35">
      <c r="A3" s="3" t="s">
        <v>24</v>
      </c>
      <c r="B3" s="3"/>
      <c r="C3" s="3"/>
      <c r="D3" s="3"/>
    </row>
    <row r="4" spans="1:10" ht="14" customHeight="1" thickBot="1" x14ac:dyDescent="0.4"/>
    <row r="5" spans="1:10" ht="37.25" customHeight="1" thickBot="1" x14ac:dyDescent="0.4">
      <c r="A5" s="280" t="s">
        <v>25</v>
      </c>
      <c r="B5" s="282" t="s">
        <v>26</v>
      </c>
      <c r="C5" s="284" t="s">
        <v>81</v>
      </c>
      <c r="D5" s="285"/>
      <c r="E5" s="284" t="s">
        <v>122</v>
      </c>
      <c r="F5" s="285"/>
      <c r="G5" s="284" t="s">
        <v>123</v>
      </c>
      <c r="H5" s="289"/>
    </row>
    <row r="6" spans="1:10" ht="31.5" thickBot="1" x14ac:dyDescent="0.4">
      <c r="A6" s="281"/>
      <c r="B6" s="283"/>
      <c r="C6" s="47" t="s">
        <v>27</v>
      </c>
      <c r="D6" s="47" t="s">
        <v>28</v>
      </c>
      <c r="E6" s="47" t="s">
        <v>27</v>
      </c>
      <c r="F6" s="4" t="s">
        <v>28</v>
      </c>
      <c r="G6" s="4" t="s">
        <v>27</v>
      </c>
      <c r="H6" s="41" t="s">
        <v>28</v>
      </c>
    </row>
    <row r="7" spans="1:10" ht="16" thickBot="1" x14ac:dyDescent="0.4">
      <c r="A7" s="35" t="s">
        <v>29</v>
      </c>
      <c r="B7" s="11">
        <v>38000</v>
      </c>
      <c r="C7" s="5">
        <v>0</v>
      </c>
      <c r="D7" s="49">
        <v>0</v>
      </c>
      <c r="E7" s="48">
        <f>B7*70%</f>
        <v>26600</v>
      </c>
      <c r="F7" s="6">
        <f>B7*30%</f>
        <v>11400</v>
      </c>
      <c r="G7" s="5">
        <v>0</v>
      </c>
      <c r="H7" s="42"/>
      <c r="I7" s="51"/>
      <c r="J7" s="30"/>
    </row>
    <row r="8" spans="1:10" ht="16" thickBot="1" x14ac:dyDescent="0.4">
      <c r="A8" s="46" t="s">
        <v>30</v>
      </c>
      <c r="B8" s="11">
        <v>20000</v>
      </c>
      <c r="C8" s="50">
        <f>+'PAR RESULTAT TAXI-MOTO 14-06-21'!D48</f>
        <v>10000</v>
      </c>
      <c r="D8" s="50">
        <v>3000</v>
      </c>
      <c r="E8" s="10">
        <f>+'PAR RESULTAT TAXI-MOTO 14-06-21'!E48</f>
        <v>5000</v>
      </c>
      <c r="F8" s="6">
        <v>2000</v>
      </c>
      <c r="G8" s="8">
        <f>5000*70%</f>
        <v>3500</v>
      </c>
      <c r="H8" s="8">
        <f>5000*30%</f>
        <v>1500</v>
      </c>
      <c r="I8" s="51"/>
      <c r="J8" s="54"/>
    </row>
    <row r="9" spans="1:10" ht="26.5" thickBot="1" x14ac:dyDescent="0.4">
      <c r="A9" s="35" t="s">
        <v>31</v>
      </c>
      <c r="B9" s="11">
        <v>123000</v>
      </c>
      <c r="C9" s="50">
        <f>+'PAR RESULTAT TAXI-MOTO 14-06-21'!D18+'PAR RESULTAT TAXI-MOTO 14-06-21'!D50</f>
        <v>30000</v>
      </c>
      <c r="D9" s="50">
        <v>7000</v>
      </c>
      <c r="E9" s="10">
        <f>+'PAR RESULTAT TAXI-MOTO 14-06-21'!E36+'PAR RESULTAT TAXI-MOTO 14-06-21'!E50</f>
        <v>53000</v>
      </c>
      <c r="F9" s="6">
        <v>24000</v>
      </c>
      <c r="G9" s="8">
        <f>10000*70%</f>
        <v>7000</v>
      </c>
      <c r="H9" s="8">
        <f>10000*30%</f>
        <v>3000</v>
      </c>
      <c r="I9" s="51"/>
      <c r="J9" s="54"/>
    </row>
    <row r="10" spans="1:10" ht="16" thickBot="1" x14ac:dyDescent="0.4">
      <c r="A10" s="43" t="s">
        <v>32</v>
      </c>
      <c r="B10" s="11">
        <v>834000</v>
      </c>
      <c r="C10" s="50">
        <f>+'PAR RESULTAT TAXI-MOTO 14-06-21'!D44+'PAR RESULTAT TAXI-MOTO 14-06-21'!D41+'PAR RESULTAT TAXI-MOTO 14-06-21'!D40+'PAR RESULTAT TAXI-MOTO 14-06-21'!D30+'PAR RESULTAT TAXI-MOTO 14-06-21'!D27+'PAR RESULTAT TAXI-MOTO 14-06-21'!D19+'PAR RESULTAT TAXI-MOTO 14-06-21'!D13+'PAR RESULTAT TAXI-MOTO 14-06-21'!D12+'PAR RESULTAT TAXI-MOTO 14-06-21'!D11+'PAR RESULTAT TAXI-MOTO 14-06-21'!D8+'PAR RESULTAT TAXI-MOTO 14-06-21'!D6</f>
        <v>319000</v>
      </c>
      <c r="D10" s="50">
        <v>111000</v>
      </c>
      <c r="E10" s="10">
        <f>+'PAR RESULTAT TAXI-MOTO 14-06-21'!E26+'PAR RESULTAT TAXI-MOTO 14-06-21'!E28+'PAR RESULTAT TAXI-MOTO 14-06-21'!E29+'PAR RESULTAT TAXI-MOTO 14-06-21'!E33+'PAR RESULTAT TAXI-MOTO 14-06-21'!E34</f>
        <v>187000</v>
      </c>
      <c r="F10" s="6">
        <v>25372</v>
      </c>
      <c r="G10" s="10">
        <f>265000*70%</f>
        <v>185500</v>
      </c>
      <c r="H10" s="10">
        <f>265000*30%</f>
        <v>79500</v>
      </c>
      <c r="I10" s="51"/>
      <c r="J10" s="54"/>
    </row>
    <row r="11" spans="1:10" ht="16" thickBot="1" x14ac:dyDescent="0.4">
      <c r="A11" s="43" t="s">
        <v>33</v>
      </c>
      <c r="B11" s="11">
        <v>90000</v>
      </c>
      <c r="C11" s="50">
        <v>38000</v>
      </c>
      <c r="D11" s="50">
        <v>22000</v>
      </c>
      <c r="E11" s="10">
        <f>+'PAR RESULTAT TAXI-MOTO 14-06-21'!E46</f>
        <v>15000</v>
      </c>
      <c r="F11" s="6">
        <v>25000</v>
      </c>
      <c r="G11" s="10">
        <f>15000*70%</f>
        <v>10500</v>
      </c>
      <c r="H11" s="10">
        <f>15000*30%</f>
        <v>4500</v>
      </c>
      <c r="I11" s="52"/>
      <c r="J11" s="54"/>
    </row>
    <row r="12" spans="1:10" ht="16" thickBot="1" x14ac:dyDescent="0.4">
      <c r="A12" s="43" t="s">
        <v>34</v>
      </c>
      <c r="B12" s="11">
        <v>0</v>
      </c>
      <c r="C12" s="50">
        <v>0</v>
      </c>
      <c r="D12" s="50">
        <v>0</v>
      </c>
      <c r="E12" s="10"/>
      <c r="F12" s="6"/>
      <c r="G12" s="10">
        <v>0</v>
      </c>
      <c r="H12" s="10">
        <v>0</v>
      </c>
      <c r="I12" s="52"/>
      <c r="J12" s="54"/>
    </row>
    <row r="13" spans="1:10" ht="26.5" thickBot="1" x14ac:dyDescent="0.4">
      <c r="A13" s="43" t="s">
        <v>35</v>
      </c>
      <c r="B13" s="11">
        <v>63500</v>
      </c>
      <c r="C13" s="50">
        <v>13117</v>
      </c>
      <c r="D13" s="50">
        <v>10383</v>
      </c>
      <c r="E13" s="10">
        <v>8000</v>
      </c>
      <c r="F13" s="6">
        <v>6883</v>
      </c>
      <c r="G13" s="10">
        <f>20000*70%</f>
        <v>14000</v>
      </c>
      <c r="H13" s="10">
        <f>20000*30%</f>
        <v>6000</v>
      </c>
      <c r="I13" s="52"/>
      <c r="J13" s="54"/>
    </row>
    <row r="14" spans="1:10" ht="16" thickBot="1" x14ac:dyDescent="0.4">
      <c r="A14" s="45" t="s">
        <v>36</v>
      </c>
      <c r="B14" s="12">
        <f t="shared" ref="B14:H14" si="0">SUM(B7:B13)</f>
        <v>1168500</v>
      </c>
      <c r="C14" s="12">
        <f t="shared" si="0"/>
        <v>410117</v>
      </c>
      <c r="D14" s="12">
        <f t="shared" si="0"/>
        <v>153383</v>
      </c>
      <c r="E14" s="12">
        <f t="shared" si="0"/>
        <v>294600</v>
      </c>
      <c r="F14" s="12">
        <f t="shared" si="0"/>
        <v>94655</v>
      </c>
      <c r="G14" s="12">
        <f t="shared" si="0"/>
        <v>220500</v>
      </c>
      <c r="H14" s="12">
        <f t="shared" si="0"/>
        <v>94500</v>
      </c>
      <c r="I14" s="52"/>
      <c r="J14" s="54"/>
    </row>
    <row r="15" spans="1:10" ht="16" thickBot="1" x14ac:dyDescent="0.4">
      <c r="A15" s="44" t="s">
        <v>37</v>
      </c>
      <c r="B15" s="13">
        <f>+C15+E15+G15+D15+F15+H15</f>
        <v>83625.5</v>
      </c>
      <c r="C15" s="13">
        <v>26503</v>
      </c>
      <c r="D15" s="13">
        <v>8882</v>
      </c>
      <c r="E15" s="13">
        <v>9138.5</v>
      </c>
      <c r="F15" s="13">
        <v>17052</v>
      </c>
      <c r="G15" s="13">
        <f>G14*0.07</f>
        <v>15435.000000000002</v>
      </c>
      <c r="H15" s="13">
        <f>H14*0.07</f>
        <v>6615.0000000000009</v>
      </c>
      <c r="I15" s="53"/>
      <c r="J15" s="54"/>
    </row>
    <row r="16" spans="1:10" ht="16" thickBot="1" x14ac:dyDescent="0.4">
      <c r="A16" s="45" t="s">
        <v>38</v>
      </c>
      <c r="B16" s="60">
        <f t="shared" ref="B16:H16" si="1">SUM(B14:B15)</f>
        <v>1252125.5</v>
      </c>
      <c r="C16" s="14">
        <f t="shared" si="1"/>
        <v>436620</v>
      </c>
      <c r="D16" s="14">
        <f t="shared" si="1"/>
        <v>162265</v>
      </c>
      <c r="E16" s="14">
        <f t="shared" si="1"/>
        <v>303738.5</v>
      </c>
      <c r="F16" s="14">
        <f t="shared" si="1"/>
        <v>111707</v>
      </c>
      <c r="G16" s="14">
        <f t="shared" si="1"/>
        <v>235935</v>
      </c>
      <c r="H16" s="14">
        <f t="shared" si="1"/>
        <v>101115</v>
      </c>
      <c r="I16" s="53"/>
    </row>
    <row r="17" spans="1:9" x14ac:dyDescent="0.35">
      <c r="B17" s="2" t="s">
        <v>39</v>
      </c>
      <c r="C17" s="2" t="s">
        <v>40</v>
      </c>
      <c r="D17" s="2" t="s">
        <v>41</v>
      </c>
      <c r="E17" s="2" t="s">
        <v>40</v>
      </c>
      <c r="F17" s="2" t="s">
        <v>41</v>
      </c>
      <c r="G17" s="2" t="s">
        <v>40</v>
      </c>
      <c r="H17" s="2" t="s">
        <v>41</v>
      </c>
    </row>
    <row r="18" spans="1:9" ht="15" thickBot="1" x14ac:dyDescent="0.4"/>
    <row r="19" spans="1:9" ht="15" thickBot="1" x14ac:dyDescent="0.4">
      <c r="A19" s="286"/>
      <c r="B19" s="287"/>
      <c r="C19" s="287"/>
      <c r="D19" s="287"/>
      <c r="E19" s="287"/>
      <c r="F19" s="287"/>
      <c r="G19" s="288"/>
    </row>
    <row r="20" spans="1:9" ht="27.65" customHeight="1" x14ac:dyDescent="0.35">
      <c r="A20" s="278" t="s">
        <v>25</v>
      </c>
      <c r="B20" s="278" t="s">
        <v>39</v>
      </c>
      <c r="C20" s="278" t="s">
        <v>82</v>
      </c>
      <c r="D20" s="278" t="s">
        <v>124</v>
      </c>
      <c r="E20" s="278" t="s">
        <v>125</v>
      </c>
      <c r="F20" s="15" t="s">
        <v>42</v>
      </c>
      <c r="G20" s="15" t="s">
        <v>43</v>
      </c>
      <c r="H20" s="278" t="s">
        <v>44</v>
      </c>
      <c r="I20" s="276" t="s">
        <v>45</v>
      </c>
    </row>
    <row r="21" spans="1:9" ht="15" thickBot="1" x14ac:dyDescent="0.4">
      <c r="A21" s="279"/>
      <c r="B21" s="279"/>
      <c r="C21" s="279"/>
      <c r="D21" s="279"/>
      <c r="E21" s="279"/>
      <c r="F21" s="16"/>
      <c r="G21" s="16"/>
      <c r="H21" s="279"/>
      <c r="I21" s="277"/>
    </row>
    <row r="22" spans="1:9" ht="15" thickBot="1" x14ac:dyDescent="0.4">
      <c r="A22" s="7" t="s">
        <v>29</v>
      </c>
      <c r="B22" s="61">
        <v>38000</v>
      </c>
      <c r="C22" s="18">
        <v>0</v>
      </c>
      <c r="D22" s="61">
        <f>+'PAR RESULTAT TAXI-MOTO 14-06-21'!I42</f>
        <v>38317.629999999997</v>
      </c>
      <c r="E22" s="18"/>
      <c r="F22" s="17"/>
      <c r="G22" s="18"/>
      <c r="H22" s="19">
        <f t="shared" ref="H22:H30" si="2">B22-C22-F22-D22-E22</f>
        <v>-317.62999999999738</v>
      </c>
      <c r="I22" s="32">
        <f>+(C22+D22+E22+F22)/B22</f>
        <v>1.0083586842105263</v>
      </c>
    </row>
    <row r="23" spans="1:9" ht="15" thickBot="1" x14ac:dyDescent="0.4">
      <c r="A23" s="7" t="s">
        <v>30</v>
      </c>
      <c r="B23" s="20">
        <v>20000</v>
      </c>
      <c r="C23" s="34">
        <f>+'PAR RESULTAT TAXI-MOTO 14-06-21'!H48</f>
        <v>7000</v>
      </c>
      <c r="D23" s="34">
        <f>+'PAR RESULTAT TAXI-MOTO 14-06-21'!I48</f>
        <v>10117.629999999999</v>
      </c>
      <c r="E23" s="34">
        <v>4778.67</v>
      </c>
      <c r="F23" s="21"/>
      <c r="G23" s="22"/>
      <c r="H23" s="19">
        <f t="shared" si="2"/>
        <v>-1896.2999999999993</v>
      </c>
      <c r="I23" s="32">
        <f>(F23+C23+D23+E23)/B23</f>
        <v>1.0948149999999999</v>
      </c>
    </row>
    <row r="24" spans="1:9" ht="26.5" thickBot="1" x14ac:dyDescent="0.4">
      <c r="A24" s="9" t="s">
        <v>31</v>
      </c>
      <c r="B24" s="37">
        <v>123000</v>
      </c>
      <c r="C24" s="34">
        <f>+'PAR RESULTAT TAXI-MOTO 14-06-21'!H18+'PAR RESULTAT TAXI-MOTO 14-06-21'!H50</f>
        <v>18000</v>
      </c>
      <c r="D24" s="36">
        <f>+'PAR RESULTAT TAXI-MOTO 14-06-21'!I35+'PAR RESULTAT TAXI-MOTO 14-06-21'!I36+'PAR RESULTAT TAXI-MOTO 14-06-21'!I50</f>
        <v>86542.03</v>
      </c>
      <c r="E24" s="36">
        <v>13322.080000000002</v>
      </c>
      <c r="F24" s="23"/>
      <c r="G24" s="23"/>
      <c r="H24" s="19">
        <f t="shared" si="2"/>
        <v>5135.8899999999994</v>
      </c>
      <c r="I24" s="32">
        <f>(F24+C24+D24+E24)/B24</f>
        <v>0.95824479674796748</v>
      </c>
    </row>
    <row r="25" spans="1:9" ht="15" thickBot="1" x14ac:dyDescent="0.4">
      <c r="A25" s="7" t="s">
        <v>32</v>
      </c>
      <c r="B25" s="38">
        <v>834000</v>
      </c>
      <c r="C25" s="34">
        <f>+'PAR RESULTAT TAXI-MOTO 14-06-21'!H6+'PAR RESULTAT TAXI-MOTO 14-06-21'!H8+'PAR RESULTAT TAXI-MOTO 14-06-21'!H11+'PAR RESULTAT TAXI-MOTO 14-06-21'!H12+'PAR RESULTAT TAXI-MOTO 14-06-21'!H13+'PAR RESULTAT TAXI-MOTO 14-06-21'!H19+'PAR RESULTAT TAXI-MOTO 14-06-21'!H27+'PAR RESULTAT TAXI-MOTO 14-06-21'!H30+'PAR RESULTAT TAXI-MOTO 14-06-21'!H40+'PAR RESULTAT TAXI-MOTO 14-06-21'!H41+'PAR RESULTAT TAXI-MOTO 14-06-21'!H44</f>
        <v>246738.63999999998</v>
      </c>
      <c r="D25" s="34">
        <f>+'PAR RESULTAT TAXI-MOTO 14-06-21'!I26+'PAR RESULTAT TAXI-MOTO 14-06-21'!I28+'PAR RESULTAT TAXI-MOTO 14-06-21'!I29+'PAR RESULTAT TAXI-MOTO 14-06-21'!I33+'PAR RESULTAT TAXI-MOTO 14-06-21'!I34</f>
        <v>164470.65</v>
      </c>
      <c r="E25" s="34">
        <f>152889.92+14184.6</f>
        <v>167074.52000000002</v>
      </c>
      <c r="F25" s="22"/>
      <c r="G25" s="24"/>
      <c r="H25" s="19">
        <f t="shared" si="2"/>
        <v>255716.18999999994</v>
      </c>
      <c r="I25" s="32">
        <f>(F25+C25+D25+E25)/B25</f>
        <v>0.69338586330935259</v>
      </c>
    </row>
    <row r="26" spans="1:9" ht="15" thickBot="1" x14ac:dyDescent="0.4">
      <c r="A26" s="9" t="s">
        <v>33</v>
      </c>
      <c r="B26" s="39">
        <v>90000</v>
      </c>
      <c r="C26" s="34">
        <f>+'PAR RESULTAT TAXI-MOTO 14-06-21'!H46</f>
        <v>15000</v>
      </c>
      <c r="D26" s="36">
        <f>+'PAR RESULTAT TAXI-MOTO 14-06-21'!I46</f>
        <v>6800.56</v>
      </c>
      <c r="E26" s="36">
        <v>25190.999999999996</v>
      </c>
      <c r="F26" s="25"/>
      <c r="G26" s="24"/>
      <c r="H26" s="19">
        <f t="shared" si="2"/>
        <v>43008.44</v>
      </c>
      <c r="I26" s="32">
        <f>(F26+C26+D26+E26)/B26</f>
        <v>0.5221284444444444</v>
      </c>
    </row>
    <row r="27" spans="1:9" ht="15" thickBot="1" x14ac:dyDescent="0.4">
      <c r="A27" s="7" t="s">
        <v>34</v>
      </c>
      <c r="B27" s="40">
        <v>0</v>
      </c>
      <c r="C27" s="34">
        <v>0</v>
      </c>
      <c r="D27" s="34">
        <v>0</v>
      </c>
      <c r="E27" s="34">
        <v>0</v>
      </c>
      <c r="F27" s="22">
        <v>0</v>
      </c>
      <c r="G27" s="24">
        <v>0</v>
      </c>
      <c r="H27" s="19">
        <f t="shared" si="2"/>
        <v>0</v>
      </c>
      <c r="I27" s="32">
        <v>0</v>
      </c>
    </row>
    <row r="28" spans="1:9" ht="26.5" thickBot="1" x14ac:dyDescent="0.4">
      <c r="A28" s="9" t="s">
        <v>35</v>
      </c>
      <c r="B28" s="39">
        <v>63500</v>
      </c>
      <c r="C28" s="34">
        <f>+'PAR RESULTAT TAXI-MOTO 14-06-21'!H49</f>
        <v>13117</v>
      </c>
      <c r="D28" s="36">
        <f>+'PAR RESULTAT TAXI-MOTO 14-06-21'!I49</f>
        <v>13826.45</v>
      </c>
      <c r="E28" s="36">
        <v>17920.640000000003</v>
      </c>
      <c r="F28" s="25"/>
      <c r="G28" s="24"/>
      <c r="H28" s="19">
        <f t="shared" si="2"/>
        <v>18635.91</v>
      </c>
      <c r="I28" s="32">
        <f>(F28+C28+D28+E28)/B28</f>
        <v>0.70652110236220478</v>
      </c>
    </row>
    <row r="29" spans="1:9" ht="15" thickBot="1" x14ac:dyDescent="0.4">
      <c r="A29" s="26" t="s">
        <v>36</v>
      </c>
      <c r="B29" s="27">
        <f>+SUM(B22:B28)</f>
        <v>1168500</v>
      </c>
      <c r="C29" s="12">
        <f>SUM(C22:C28)</f>
        <v>299855.64</v>
      </c>
      <c r="D29" s="12">
        <f>+SUM(D22:D28)</f>
        <v>320074.94999999995</v>
      </c>
      <c r="E29" s="12">
        <f>SUM(E22:E28)</f>
        <v>228286.91000000003</v>
      </c>
      <c r="F29" s="12"/>
      <c r="G29" s="12"/>
      <c r="H29" s="28">
        <f t="shared" si="2"/>
        <v>320282.5</v>
      </c>
      <c r="I29" s="33">
        <f>(F29+C29+D29+E29)/B29</f>
        <v>0.72590286692340611</v>
      </c>
    </row>
    <row r="30" spans="1:9" ht="15" thickBot="1" x14ac:dyDescent="0.4">
      <c r="A30" s="9" t="s">
        <v>37</v>
      </c>
      <c r="B30" s="13">
        <f>B29*0.07</f>
        <v>81795.000000000015</v>
      </c>
      <c r="C30" s="274">
        <f>C29*0.07</f>
        <v>20989.894800000002</v>
      </c>
      <c r="D30" s="274">
        <f>D29*0.07</f>
        <v>22405.246499999997</v>
      </c>
      <c r="E30" s="274">
        <f>E29*0.07</f>
        <v>15980.083700000005</v>
      </c>
      <c r="F30" s="29"/>
      <c r="G30" s="29"/>
      <c r="H30" s="19">
        <f t="shared" si="2"/>
        <v>22419.775000000009</v>
      </c>
      <c r="I30" s="32">
        <f>(F30+C30+D30+E30)/B30</f>
        <v>0.725902866923406</v>
      </c>
    </row>
    <row r="31" spans="1:9" s="59" customFormat="1" ht="15.5" thickBot="1" x14ac:dyDescent="0.4">
      <c r="A31" s="55" t="s">
        <v>38</v>
      </c>
      <c r="B31" s="56">
        <f>+B30+B29</f>
        <v>1250295</v>
      </c>
      <c r="C31" s="57">
        <f t="shared" ref="C31:H31" si="3">SUM(C29:C30)</f>
        <v>320845.53480000002</v>
      </c>
      <c r="D31" s="57">
        <f t="shared" si="3"/>
        <v>342480.19649999996</v>
      </c>
      <c r="E31" s="57">
        <f t="shared" si="3"/>
        <v>244266.99370000005</v>
      </c>
      <c r="F31" s="58">
        <f t="shared" si="3"/>
        <v>0</v>
      </c>
      <c r="G31" s="58">
        <f t="shared" si="3"/>
        <v>0</v>
      </c>
      <c r="H31" s="56">
        <f t="shared" si="3"/>
        <v>342702.27500000002</v>
      </c>
      <c r="I31" s="33">
        <f>(F31+C31+D31+E31)/B31</f>
        <v>0.72590286692340611</v>
      </c>
    </row>
    <row r="32" spans="1:9" s="2" customFormat="1" x14ac:dyDescent="0.35"/>
    <row r="33" spans="1:7" x14ac:dyDescent="0.35">
      <c r="B33" s="30"/>
      <c r="C33" s="31"/>
      <c r="D33" s="31"/>
      <c r="E33" s="31"/>
      <c r="F33" s="1"/>
    </row>
    <row r="34" spans="1:7" x14ac:dyDescent="0.35">
      <c r="F34" s="30"/>
    </row>
    <row r="35" spans="1:7" x14ac:dyDescent="0.35">
      <c r="A35" t="s">
        <v>135</v>
      </c>
      <c r="C35" s="252"/>
      <c r="D35" s="253"/>
      <c r="E35" s="252"/>
      <c r="G35" s="249"/>
    </row>
    <row r="36" spans="1:7" x14ac:dyDescent="0.35">
      <c r="C36" s="252"/>
      <c r="D36" s="254"/>
      <c r="E36" s="252"/>
      <c r="G36" s="250"/>
    </row>
    <row r="37" spans="1:7" x14ac:dyDescent="0.35">
      <c r="C37" s="252"/>
      <c r="D37" s="255"/>
      <c r="E37" s="252"/>
    </row>
    <row r="38" spans="1:7" x14ac:dyDescent="0.35">
      <c r="C38" s="252"/>
      <c r="D38" s="256"/>
      <c r="E38" s="252"/>
    </row>
  </sheetData>
  <mergeCells count="14">
    <mergeCell ref="A1:H1"/>
    <mergeCell ref="I20:I21"/>
    <mergeCell ref="H20:H21"/>
    <mergeCell ref="A5:A6"/>
    <mergeCell ref="B5:B6"/>
    <mergeCell ref="C5:D5"/>
    <mergeCell ref="A20:A21"/>
    <mergeCell ref="B20:B21"/>
    <mergeCell ref="C20:C21"/>
    <mergeCell ref="A19:G19"/>
    <mergeCell ref="E5:F5"/>
    <mergeCell ref="G5:H5"/>
    <mergeCell ref="D20:D21"/>
    <mergeCell ref="E20:E2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69"/>
  <sheetViews>
    <sheetView topLeftCell="B1" zoomScale="70" zoomScaleNormal="70" workbookViewId="0">
      <selection activeCell="B1" sqref="B1:L1"/>
    </sheetView>
  </sheetViews>
  <sheetFormatPr baseColWidth="10" defaultColWidth="9.1796875" defaultRowHeight="15.5" x14ac:dyDescent="0.35"/>
  <cols>
    <col min="1" max="1" width="10.453125" style="93" customWidth="1"/>
    <col min="2" max="2" width="40.453125" style="93" customWidth="1"/>
    <col min="3" max="3" width="17.54296875" style="92" customWidth="1"/>
    <col min="4" max="5" width="19.453125" style="93" customWidth="1"/>
    <col min="6" max="6" width="18.54296875" style="93" customWidth="1"/>
    <col min="7" max="7" width="15.81640625" style="93" customWidth="1"/>
    <col min="8" max="9" width="15.81640625" style="187" customWidth="1"/>
    <col min="10" max="10" width="17.1796875" style="79" customWidth="1"/>
    <col min="11" max="11" width="17.1796875" style="78" customWidth="1"/>
    <col min="12" max="12" width="16.90625" style="93" customWidth="1"/>
    <col min="13" max="13" width="11.81640625" style="93" customWidth="1"/>
    <col min="14" max="14" width="15.36328125" style="94" customWidth="1"/>
    <col min="15" max="15" width="17.6328125" style="93" customWidth="1"/>
    <col min="16" max="16" width="12.1796875" style="257" customWidth="1"/>
    <col min="17" max="17" width="9.1796875" style="93"/>
    <col min="18" max="18" width="12.453125" style="93" bestFit="1" customWidth="1"/>
    <col min="19" max="19" width="13.54296875" style="93" bestFit="1" customWidth="1"/>
    <col min="20" max="16384" width="9.1796875" style="93"/>
  </cols>
  <sheetData>
    <row r="1" spans="1:17" ht="14.5" customHeight="1" x14ac:dyDescent="0.35">
      <c r="A1" s="92"/>
      <c r="B1" s="290" t="s">
        <v>121</v>
      </c>
      <c r="C1" s="290"/>
      <c r="D1" s="290"/>
      <c r="E1" s="290"/>
      <c r="F1" s="290"/>
      <c r="G1" s="290"/>
      <c r="H1" s="290"/>
      <c r="I1" s="290"/>
      <c r="J1" s="290"/>
      <c r="K1" s="290"/>
      <c r="L1" s="290"/>
      <c r="O1" s="95"/>
    </row>
    <row r="2" spans="1:17" ht="26.15" customHeight="1" thickBot="1" x14ac:dyDescent="0.4">
      <c r="A2" s="92" t="s">
        <v>0</v>
      </c>
      <c r="D2" s="96"/>
      <c r="E2" s="96"/>
      <c r="F2" s="96"/>
      <c r="G2" s="96"/>
      <c r="H2" s="97"/>
      <c r="I2" s="97"/>
      <c r="J2" s="62"/>
      <c r="K2" s="98"/>
      <c r="L2" s="96"/>
      <c r="N2" s="94">
        <v>43983</v>
      </c>
    </row>
    <row r="3" spans="1:17" ht="99" customHeight="1" x14ac:dyDescent="0.35">
      <c r="A3" s="99" t="s">
        <v>1</v>
      </c>
      <c r="B3" s="100" t="s">
        <v>2</v>
      </c>
      <c r="C3" s="101" t="s">
        <v>69</v>
      </c>
      <c r="D3" s="102" t="s">
        <v>74</v>
      </c>
      <c r="E3" s="103" t="s">
        <v>107</v>
      </c>
      <c r="F3" s="104" t="s">
        <v>108</v>
      </c>
      <c r="G3" s="100" t="s">
        <v>3</v>
      </c>
      <c r="H3" s="102" t="s">
        <v>78</v>
      </c>
      <c r="I3" s="103" t="s">
        <v>117</v>
      </c>
      <c r="J3" s="63" t="s">
        <v>118</v>
      </c>
      <c r="K3" s="64" t="s">
        <v>79</v>
      </c>
      <c r="L3" s="105" t="s">
        <v>4</v>
      </c>
      <c r="M3" s="105" t="s">
        <v>5</v>
      </c>
      <c r="N3" s="106" t="s">
        <v>6</v>
      </c>
      <c r="O3" s="107" t="s">
        <v>126</v>
      </c>
      <c r="P3" s="258"/>
    </row>
    <row r="4" spans="1:17" ht="19.5" customHeight="1" x14ac:dyDescent="0.35">
      <c r="A4" s="108" t="s">
        <v>46</v>
      </c>
      <c r="B4" s="109" t="s">
        <v>47</v>
      </c>
      <c r="C4" s="109" t="s">
        <v>48</v>
      </c>
      <c r="D4" s="110" t="s">
        <v>49</v>
      </c>
      <c r="E4" s="110"/>
      <c r="F4" s="110"/>
      <c r="G4" s="111" t="s">
        <v>70</v>
      </c>
      <c r="H4" s="111"/>
      <c r="I4" s="111"/>
      <c r="J4" s="65" t="s">
        <v>71</v>
      </c>
      <c r="K4" s="111"/>
      <c r="L4" s="111" t="s">
        <v>50</v>
      </c>
      <c r="M4" s="111" t="s">
        <v>72</v>
      </c>
      <c r="N4" s="111" t="s">
        <v>73</v>
      </c>
      <c r="O4" s="111"/>
      <c r="P4" s="259"/>
    </row>
    <row r="5" spans="1:17" ht="24.5" customHeight="1" thickBot="1" x14ac:dyDescent="0.4">
      <c r="A5" s="313" t="s">
        <v>119</v>
      </c>
      <c r="B5" s="314"/>
      <c r="C5" s="314"/>
      <c r="D5" s="314"/>
      <c r="E5" s="314"/>
      <c r="F5" s="314"/>
      <c r="G5" s="314"/>
      <c r="H5" s="314"/>
      <c r="I5" s="314"/>
      <c r="J5" s="314"/>
      <c r="K5" s="314"/>
      <c r="L5" s="314"/>
      <c r="M5" s="314"/>
      <c r="N5" s="314"/>
      <c r="O5" s="314"/>
      <c r="P5" s="315"/>
    </row>
    <row r="6" spans="1:17" ht="61.25" customHeight="1" x14ac:dyDescent="0.35">
      <c r="A6" s="316" t="s">
        <v>128</v>
      </c>
      <c r="B6" s="112" t="s">
        <v>83</v>
      </c>
      <c r="C6" s="113">
        <f>+D6+E6+F6</f>
        <v>35000</v>
      </c>
      <c r="D6" s="114">
        <v>35000</v>
      </c>
      <c r="E6" s="115"/>
      <c r="F6" s="116"/>
      <c r="G6" s="117">
        <v>0.36</v>
      </c>
      <c r="H6" s="114">
        <v>28819.93</v>
      </c>
      <c r="I6" s="115"/>
      <c r="J6" s="66"/>
      <c r="K6" s="118">
        <f>+H6+I6+J6</f>
        <v>28819.93</v>
      </c>
      <c r="L6" s="113"/>
      <c r="M6" s="113"/>
      <c r="N6" s="119">
        <f>(K6)/C6</f>
        <v>0.82342657142857145</v>
      </c>
      <c r="O6" s="113">
        <f>+(H6+I6+J6)*0.36</f>
        <v>10375.174799999999</v>
      </c>
      <c r="P6" s="260">
        <v>4</v>
      </c>
      <c r="Q6" s="304" t="s">
        <v>51</v>
      </c>
    </row>
    <row r="7" spans="1:17" ht="111" customHeight="1" x14ac:dyDescent="0.35">
      <c r="A7" s="317"/>
      <c r="B7" s="251" t="s">
        <v>133</v>
      </c>
      <c r="C7" s="113">
        <f>+D7+E7+F7</f>
        <v>45000</v>
      </c>
      <c r="D7" s="248"/>
      <c r="E7" s="115"/>
      <c r="F7" s="116">
        <v>45000</v>
      </c>
      <c r="G7" s="117">
        <v>0.35</v>
      </c>
      <c r="H7" s="114"/>
      <c r="I7" s="115"/>
      <c r="J7" s="66">
        <v>42087.26</v>
      </c>
      <c r="K7" s="118">
        <f>+H7+I7+J7</f>
        <v>42087.26</v>
      </c>
      <c r="L7" s="113"/>
      <c r="M7" s="113"/>
      <c r="N7" s="119">
        <f>(K7)/C7</f>
        <v>0.93527244444444446</v>
      </c>
      <c r="O7" s="113">
        <f>+(H7+I7+J7)*0.35</f>
        <v>14730.540999999999</v>
      </c>
      <c r="P7" s="260">
        <v>4</v>
      </c>
      <c r="Q7" s="305"/>
    </row>
    <row r="8" spans="1:17" ht="93" x14ac:dyDescent="0.35">
      <c r="A8" s="317"/>
      <c r="B8" s="120" t="s">
        <v>84</v>
      </c>
      <c r="C8" s="121">
        <f>+D8+E8+F8</f>
        <v>30000</v>
      </c>
      <c r="D8" s="114">
        <v>30000</v>
      </c>
      <c r="E8" s="115"/>
      <c r="F8" s="116"/>
      <c r="G8" s="117">
        <v>0.35</v>
      </c>
      <c r="H8" s="114">
        <v>30000</v>
      </c>
      <c r="I8" s="115"/>
      <c r="J8" s="66"/>
      <c r="K8" s="118">
        <f>+H8+I8+J8</f>
        <v>30000</v>
      </c>
      <c r="L8" s="113"/>
      <c r="M8" s="113"/>
      <c r="N8" s="119">
        <f>(K8)/C8</f>
        <v>1</v>
      </c>
      <c r="O8" s="113">
        <f>+(H8+I8+J8)*0.35</f>
        <v>10500</v>
      </c>
      <c r="P8" s="260">
        <v>4</v>
      </c>
      <c r="Q8" s="305"/>
    </row>
    <row r="9" spans="1:17" ht="84.65" customHeight="1" thickBot="1" x14ac:dyDescent="0.4">
      <c r="A9" s="318"/>
      <c r="B9" s="122" t="s">
        <v>85</v>
      </c>
      <c r="C9" s="123">
        <f>+D9+E9+F9</f>
        <v>60000</v>
      </c>
      <c r="D9" s="124"/>
      <c r="E9" s="125"/>
      <c r="F9" s="126">
        <v>60000</v>
      </c>
      <c r="G9" s="127">
        <v>0.45</v>
      </c>
      <c r="H9" s="124"/>
      <c r="I9" s="125"/>
      <c r="J9" s="66">
        <v>43015.66</v>
      </c>
      <c r="K9" s="128">
        <f>+H9+I9+J9</f>
        <v>43015.66</v>
      </c>
      <c r="L9" s="129"/>
      <c r="M9" s="129"/>
      <c r="N9" s="130">
        <f>(K9)/C9</f>
        <v>0.71692766666666674</v>
      </c>
      <c r="O9" s="129">
        <f>+(H9+I9+J9)*0.45</f>
        <v>19357.047000000002</v>
      </c>
      <c r="P9" s="261">
        <v>4</v>
      </c>
      <c r="Q9" s="306"/>
    </row>
    <row r="10" spans="1:17" ht="21.75" customHeight="1" thickBot="1" x14ac:dyDescent="0.4">
      <c r="A10" s="307" t="s">
        <v>52</v>
      </c>
      <c r="B10" s="308"/>
      <c r="C10" s="131">
        <f>+SUM(C6:C9)</f>
        <v>170000</v>
      </c>
      <c r="D10" s="132">
        <f>SUM(D6:D9)</f>
        <v>65000</v>
      </c>
      <c r="E10" s="132">
        <f>SUM(E6:E9)</f>
        <v>0</v>
      </c>
      <c r="F10" s="132">
        <f>SUM(F6:F9)</f>
        <v>105000</v>
      </c>
      <c r="G10" s="133">
        <v>91500</v>
      </c>
      <c r="H10" s="133">
        <f t="shared" ref="H10:M10" si="0">SUM(H6:H9)</f>
        <v>58819.93</v>
      </c>
      <c r="I10" s="133">
        <f t="shared" si="0"/>
        <v>0</v>
      </c>
      <c r="J10" s="67">
        <f>SUM(J6:J9)</f>
        <v>85102.920000000013</v>
      </c>
      <c r="K10" s="134">
        <f t="shared" si="0"/>
        <v>143922.85</v>
      </c>
      <c r="L10" s="133">
        <f t="shared" si="0"/>
        <v>0</v>
      </c>
      <c r="M10" s="133">
        <f t="shared" si="0"/>
        <v>0</v>
      </c>
      <c r="N10" s="133">
        <f>(K10)/C10</f>
        <v>0.84660500000000005</v>
      </c>
      <c r="O10" s="133">
        <f>SUM(O6:O9)</f>
        <v>54962.762799999997</v>
      </c>
      <c r="P10" s="262"/>
    </row>
    <row r="11" spans="1:17" ht="155.5" customHeight="1" thickBot="1" x14ac:dyDescent="0.4">
      <c r="A11" s="309" t="s">
        <v>129</v>
      </c>
      <c r="B11" s="135" t="s">
        <v>86</v>
      </c>
      <c r="C11" s="136">
        <f t="shared" ref="C11:C16" si="1">+D11+E11+F11</f>
        <v>30000</v>
      </c>
      <c r="D11" s="114">
        <v>30000</v>
      </c>
      <c r="E11" s="115"/>
      <c r="F11" s="116"/>
      <c r="G11" s="117">
        <v>0.4</v>
      </c>
      <c r="H11" s="114">
        <v>30000</v>
      </c>
      <c r="I11" s="137"/>
      <c r="J11" s="66"/>
      <c r="K11" s="138">
        <f t="shared" ref="K11:K16" si="2">+H11+I11+J11</f>
        <v>30000</v>
      </c>
      <c r="L11" s="139"/>
      <c r="M11" s="140"/>
      <c r="N11" s="141">
        <f>(L11+K11)/C11</f>
        <v>1</v>
      </c>
      <c r="O11" s="113">
        <f>+(H11+I11+J11)*0.4</f>
        <v>12000</v>
      </c>
      <c r="P11" s="263">
        <v>4</v>
      </c>
      <c r="Q11" s="293" t="s">
        <v>53</v>
      </c>
    </row>
    <row r="12" spans="1:17" ht="66.650000000000006" customHeight="1" thickBot="1" x14ac:dyDescent="0.4">
      <c r="A12" s="310"/>
      <c r="B12" s="135" t="s">
        <v>87</v>
      </c>
      <c r="C12" s="136">
        <f t="shared" si="1"/>
        <v>20000</v>
      </c>
      <c r="D12" s="114">
        <v>20000</v>
      </c>
      <c r="E12" s="115"/>
      <c r="F12" s="116"/>
      <c r="G12" s="117">
        <v>0.45</v>
      </c>
      <c r="H12" s="114">
        <v>20000</v>
      </c>
      <c r="I12" s="137"/>
      <c r="J12" s="66"/>
      <c r="K12" s="138">
        <f t="shared" si="2"/>
        <v>20000</v>
      </c>
      <c r="L12" s="142"/>
      <c r="M12" s="143"/>
      <c r="N12" s="141">
        <f>(L12+K12)/C12</f>
        <v>1</v>
      </c>
      <c r="O12" s="113">
        <f>+(H12+I12+J12)*0.45</f>
        <v>9000</v>
      </c>
      <c r="P12" s="263">
        <v>4</v>
      </c>
      <c r="Q12" s="294"/>
    </row>
    <row r="13" spans="1:17" ht="71.5" customHeight="1" thickBot="1" x14ac:dyDescent="0.4">
      <c r="A13" s="310"/>
      <c r="B13" s="135" t="s">
        <v>88</v>
      </c>
      <c r="C13" s="136">
        <f t="shared" si="1"/>
        <v>20000</v>
      </c>
      <c r="D13" s="114">
        <v>20000</v>
      </c>
      <c r="E13" s="115"/>
      <c r="F13" s="116"/>
      <c r="G13" s="117">
        <v>0.4</v>
      </c>
      <c r="H13" s="114">
        <v>19918.71</v>
      </c>
      <c r="I13" s="137"/>
      <c r="J13" s="66"/>
      <c r="K13" s="138">
        <f t="shared" si="2"/>
        <v>19918.71</v>
      </c>
      <c r="L13" s="142"/>
      <c r="M13" s="143"/>
      <c r="N13" s="141">
        <f>(L13+K13)/C13</f>
        <v>0.99593549999999997</v>
      </c>
      <c r="O13" s="113">
        <f>+(H13+I13+J13)*0.36</f>
        <v>7170.7355999999991</v>
      </c>
      <c r="P13" s="263">
        <v>4</v>
      </c>
      <c r="Q13" s="294"/>
    </row>
    <row r="14" spans="1:17" ht="115.25" customHeight="1" thickBot="1" x14ac:dyDescent="0.4">
      <c r="A14" s="310"/>
      <c r="B14" s="135" t="s">
        <v>89</v>
      </c>
      <c r="C14" s="136">
        <f t="shared" si="1"/>
        <v>35000</v>
      </c>
      <c r="D14" s="114"/>
      <c r="E14" s="115"/>
      <c r="F14" s="116">
        <v>35000</v>
      </c>
      <c r="G14" s="117">
        <v>0.7</v>
      </c>
      <c r="H14" s="114"/>
      <c r="I14" s="137"/>
      <c r="J14" s="66"/>
      <c r="K14" s="138">
        <f t="shared" si="2"/>
        <v>0</v>
      </c>
      <c r="L14" s="142"/>
      <c r="M14" s="143"/>
      <c r="N14" s="141"/>
      <c r="O14" s="113">
        <f>+(H14+I14+J14)*0.36</f>
        <v>0</v>
      </c>
      <c r="P14" s="263">
        <v>4</v>
      </c>
      <c r="Q14" s="294"/>
    </row>
    <row r="15" spans="1:17" ht="67.25" customHeight="1" thickBot="1" x14ac:dyDescent="0.4">
      <c r="A15" s="310"/>
      <c r="B15" s="135" t="s">
        <v>90</v>
      </c>
      <c r="C15" s="136">
        <f t="shared" si="1"/>
        <v>30000</v>
      </c>
      <c r="D15" s="114"/>
      <c r="E15" s="115"/>
      <c r="F15" s="116">
        <v>30000</v>
      </c>
      <c r="G15" s="117">
        <v>0.3</v>
      </c>
      <c r="H15" s="114"/>
      <c r="I15" s="137"/>
      <c r="J15" s="68">
        <v>32780</v>
      </c>
      <c r="K15" s="138">
        <f t="shared" si="2"/>
        <v>32780</v>
      </c>
      <c r="L15" s="142"/>
      <c r="M15" s="143"/>
      <c r="N15" s="141">
        <f>(L15+K15)/C15</f>
        <v>1.0926666666666667</v>
      </c>
      <c r="O15" s="113">
        <f>+(H15+I15+J15)*0.36</f>
        <v>11800.8</v>
      </c>
      <c r="P15" s="263">
        <v>4</v>
      </c>
      <c r="Q15" s="294"/>
    </row>
    <row r="16" spans="1:17" ht="95" customHeight="1" thickBot="1" x14ac:dyDescent="0.4">
      <c r="A16" s="311"/>
      <c r="B16" s="135" t="s">
        <v>91</v>
      </c>
      <c r="C16" s="144">
        <f t="shared" si="1"/>
        <v>30000</v>
      </c>
      <c r="D16" s="114"/>
      <c r="E16" s="115"/>
      <c r="F16" s="116">
        <v>30000</v>
      </c>
      <c r="G16" s="117">
        <v>0.45</v>
      </c>
      <c r="H16" s="114"/>
      <c r="I16" s="137"/>
      <c r="J16" s="66"/>
      <c r="K16" s="138">
        <f t="shared" si="2"/>
        <v>0</v>
      </c>
      <c r="L16" s="139"/>
      <c r="M16" s="140"/>
      <c r="N16" s="141"/>
      <c r="O16" s="113">
        <f>+(H16+I16+J16)*0.36</f>
        <v>0</v>
      </c>
      <c r="P16" s="264">
        <v>4</v>
      </c>
      <c r="Q16" s="295"/>
    </row>
    <row r="17" spans="1:17" ht="28.5" customHeight="1" thickBot="1" x14ac:dyDescent="0.4">
      <c r="A17" s="307" t="s">
        <v>54</v>
      </c>
      <c r="B17" s="308"/>
      <c r="C17" s="133">
        <f>SUM(C11:C16)</f>
        <v>165000</v>
      </c>
      <c r="D17" s="133">
        <f>SUM(D11:D16)</f>
        <v>70000</v>
      </c>
      <c r="E17" s="133">
        <f>SUM(E11:E16)</f>
        <v>0</v>
      </c>
      <c r="F17" s="133">
        <f>SUM(F11:F16)</f>
        <v>95000</v>
      </c>
      <c r="G17" s="133"/>
      <c r="H17" s="133">
        <f>+SUM(H11:H16)</f>
        <v>69918.709999999992</v>
      </c>
      <c r="I17" s="133">
        <f>+SUM(I11:I16)</f>
        <v>0</v>
      </c>
      <c r="J17" s="67">
        <f>+SUM(J11:J16)</f>
        <v>32780</v>
      </c>
      <c r="K17" s="134">
        <f>+SUM(K11:K16)</f>
        <v>102698.70999999999</v>
      </c>
      <c r="L17" s="133">
        <f>SUM(L11:L16)</f>
        <v>0</v>
      </c>
      <c r="M17" s="133">
        <f>SUM(M11:M16)</f>
        <v>0</v>
      </c>
      <c r="N17" s="145">
        <f t="shared" ref="N17:N24" si="3">+L17+K17/C17</f>
        <v>0.62241642424242416</v>
      </c>
      <c r="O17" s="133">
        <f>SUM(O11:O16)</f>
        <v>39971.535600000003</v>
      </c>
      <c r="P17" s="263"/>
    </row>
    <row r="18" spans="1:17" ht="62.5" customHeight="1" thickBot="1" x14ac:dyDescent="0.4">
      <c r="A18" s="319" t="s">
        <v>130</v>
      </c>
      <c r="B18" s="135" t="s">
        <v>92</v>
      </c>
      <c r="C18" s="136">
        <f>+D18+E18+F18</f>
        <v>15000</v>
      </c>
      <c r="D18" s="114">
        <v>15000</v>
      </c>
      <c r="E18" s="115"/>
      <c r="F18" s="116"/>
      <c r="G18" s="146">
        <v>0.45</v>
      </c>
      <c r="H18" s="114">
        <v>10000</v>
      </c>
      <c r="I18" s="115"/>
      <c r="J18" s="69"/>
      <c r="K18" s="138">
        <f>+H18+I18+J18</f>
        <v>10000</v>
      </c>
      <c r="L18" s="139"/>
      <c r="M18" s="140"/>
      <c r="N18" s="141">
        <f t="shared" si="3"/>
        <v>0.66666666666666663</v>
      </c>
      <c r="O18" s="140"/>
      <c r="P18" s="263">
        <v>3</v>
      </c>
      <c r="Q18" s="293" t="s">
        <v>55</v>
      </c>
    </row>
    <row r="19" spans="1:17" ht="62.5" thickBot="1" x14ac:dyDescent="0.4">
      <c r="A19" s="320"/>
      <c r="B19" s="122" t="s">
        <v>93</v>
      </c>
      <c r="C19" s="136">
        <f>+D19+E19+F19</f>
        <v>20000</v>
      </c>
      <c r="D19" s="114">
        <v>20000</v>
      </c>
      <c r="E19" s="115"/>
      <c r="F19" s="116"/>
      <c r="G19" s="146">
        <v>0.4</v>
      </c>
      <c r="H19" s="114">
        <v>20000</v>
      </c>
      <c r="I19" s="115"/>
      <c r="J19" s="69"/>
      <c r="K19" s="138">
        <f>+H19+I19+J19</f>
        <v>20000</v>
      </c>
      <c r="L19" s="139"/>
      <c r="M19" s="140"/>
      <c r="N19" s="141">
        <f>(L19+K19)/C19</f>
        <v>1</v>
      </c>
      <c r="O19" s="113">
        <f>+(H19+I19+J19)*0.4</f>
        <v>8000</v>
      </c>
      <c r="P19" s="263">
        <v>4</v>
      </c>
      <c r="Q19" s="294"/>
    </row>
    <row r="20" spans="1:17" ht="62.5" customHeight="1" thickBot="1" x14ac:dyDescent="0.4">
      <c r="A20" s="320"/>
      <c r="B20" s="113" t="s">
        <v>94</v>
      </c>
      <c r="C20" s="136">
        <f>+D20+E20+F20</f>
        <v>10000</v>
      </c>
      <c r="D20" s="114">
        <v>10000</v>
      </c>
      <c r="E20" s="115"/>
      <c r="F20" s="116"/>
      <c r="G20" s="146">
        <v>0.4</v>
      </c>
      <c r="H20" s="114"/>
      <c r="I20" s="115"/>
      <c r="J20" s="69"/>
      <c r="K20" s="138">
        <f>+H20+I20+J20</f>
        <v>0</v>
      </c>
      <c r="L20" s="139"/>
      <c r="M20" s="140"/>
      <c r="N20" s="141"/>
      <c r="O20" s="113">
        <f>+(H20+I20+J20)*0.36</f>
        <v>0</v>
      </c>
      <c r="P20" s="263">
        <v>4</v>
      </c>
      <c r="Q20" s="294"/>
    </row>
    <row r="21" spans="1:17" ht="65.5" customHeight="1" thickBot="1" x14ac:dyDescent="0.4">
      <c r="A21" s="320"/>
      <c r="B21" s="113" t="s">
        <v>95</v>
      </c>
      <c r="C21" s="136">
        <f>+D21+E21+F21</f>
        <v>34000</v>
      </c>
      <c r="D21" s="114"/>
      <c r="E21" s="115"/>
      <c r="F21" s="116">
        <v>34000</v>
      </c>
      <c r="G21" s="146">
        <v>0.35</v>
      </c>
      <c r="H21" s="114"/>
      <c r="I21" s="115"/>
      <c r="J21" s="70">
        <v>35007</v>
      </c>
      <c r="K21" s="138">
        <f>+H21+I21+J21</f>
        <v>35007</v>
      </c>
      <c r="L21" s="139"/>
      <c r="M21" s="140"/>
      <c r="N21" s="141">
        <f t="shared" si="3"/>
        <v>1.0296176470588236</v>
      </c>
      <c r="O21" s="113">
        <f>+(H21+I21+J21)*0.35</f>
        <v>12252.449999999999</v>
      </c>
      <c r="P21" s="263">
        <v>4</v>
      </c>
      <c r="Q21" s="294"/>
    </row>
    <row r="22" spans="1:17" ht="69.650000000000006" customHeight="1" thickBot="1" x14ac:dyDescent="0.4">
      <c r="A22" s="320"/>
      <c r="B22" s="113" t="s">
        <v>96</v>
      </c>
      <c r="C22" s="136">
        <v>8000</v>
      </c>
      <c r="D22" s="114">
        <v>8000</v>
      </c>
      <c r="E22" s="115"/>
      <c r="F22" s="116"/>
      <c r="G22" s="146">
        <v>0.8</v>
      </c>
      <c r="H22" s="114"/>
      <c r="I22" s="115"/>
      <c r="J22" s="69"/>
      <c r="K22" s="138">
        <f>+H22+I22+J22</f>
        <v>0</v>
      </c>
      <c r="L22" s="139"/>
      <c r="M22" s="140"/>
      <c r="N22" s="141">
        <f t="shared" si="3"/>
        <v>0</v>
      </c>
      <c r="O22" s="113">
        <f>+(H22+I22+J22)*0.36</f>
        <v>0</v>
      </c>
      <c r="P22" s="263">
        <v>4</v>
      </c>
      <c r="Q22" s="294"/>
    </row>
    <row r="23" spans="1:17" ht="18" customHeight="1" thickBot="1" x14ac:dyDescent="0.4">
      <c r="A23" s="298" t="s">
        <v>56</v>
      </c>
      <c r="B23" s="299"/>
      <c r="C23" s="133">
        <f>SUM(C18:C22)</f>
        <v>87000</v>
      </c>
      <c r="D23" s="132">
        <f t="shared" ref="D23:O23" si="4">SUM(D18:D22)</f>
        <v>53000</v>
      </c>
      <c r="E23" s="132">
        <f t="shared" si="4"/>
        <v>0</v>
      </c>
      <c r="F23" s="132">
        <f t="shared" si="4"/>
        <v>34000</v>
      </c>
      <c r="G23" s="133">
        <v>79000</v>
      </c>
      <c r="H23" s="133">
        <f>+SUM(H18:H22)</f>
        <v>30000</v>
      </c>
      <c r="I23" s="133">
        <f>+SUM(I18:I22)</f>
        <v>0</v>
      </c>
      <c r="J23" s="67">
        <f>+SUM(J18:J22)</f>
        <v>35007</v>
      </c>
      <c r="K23" s="134">
        <f>+SUM(K18:K22)</f>
        <v>65007</v>
      </c>
      <c r="L23" s="133">
        <f t="shared" si="4"/>
        <v>0</v>
      </c>
      <c r="M23" s="133">
        <f t="shared" si="4"/>
        <v>0</v>
      </c>
      <c r="N23" s="145">
        <f t="shared" si="3"/>
        <v>0.74720689655172412</v>
      </c>
      <c r="O23" s="133">
        <f t="shared" si="4"/>
        <v>20252.449999999997</v>
      </c>
      <c r="P23" s="263"/>
    </row>
    <row r="24" spans="1:17" ht="19.5" customHeight="1" thickBot="1" x14ac:dyDescent="0.4">
      <c r="A24" s="300" t="s">
        <v>7</v>
      </c>
      <c r="B24" s="301"/>
      <c r="C24" s="147">
        <f>C10+C17+C23</f>
        <v>422000</v>
      </c>
      <c r="D24" s="148">
        <f>D10+D17+D23</f>
        <v>188000</v>
      </c>
      <c r="E24" s="148">
        <f>E10+E17+E23</f>
        <v>0</v>
      </c>
      <c r="F24" s="148">
        <f>F10+F17+F23</f>
        <v>234000</v>
      </c>
      <c r="G24" s="147">
        <f>+G23+G17+G10</f>
        <v>170500</v>
      </c>
      <c r="H24" s="147">
        <f>+H23+H17+H10</f>
        <v>158738.63999999998</v>
      </c>
      <c r="I24" s="147">
        <f>+I23+I17+I10</f>
        <v>0</v>
      </c>
      <c r="J24" s="71">
        <f>+J23+J17+J10</f>
        <v>152889.92000000001</v>
      </c>
      <c r="K24" s="149">
        <f>+K23+K17+K10</f>
        <v>311628.56</v>
      </c>
      <c r="L24" s="147">
        <f>L10+L17+L23</f>
        <v>0</v>
      </c>
      <c r="M24" s="147">
        <f>M10+M17+M23</f>
        <v>0</v>
      </c>
      <c r="N24" s="150">
        <f t="shared" si="3"/>
        <v>0.73845630331753553</v>
      </c>
      <c r="O24" s="147">
        <f>O10+O17+O23</f>
        <v>115186.7484</v>
      </c>
      <c r="P24" s="265"/>
    </row>
    <row r="25" spans="1:17" ht="24.75" customHeight="1" thickBot="1" x14ac:dyDescent="0.4">
      <c r="A25" s="321" t="s">
        <v>120</v>
      </c>
      <c r="B25" s="322"/>
      <c r="C25" s="322"/>
      <c r="D25" s="322"/>
      <c r="E25" s="322"/>
      <c r="F25" s="322"/>
      <c r="G25" s="322"/>
      <c r="H25" s="322"/>
      <c r="I25" s="322"/>
      <c r="J25" s="322"/>
      <c r="K25" s="322"/>
      <c r="L25" s="322"/>
      <c r="M25" s="322"/>
      <c r="N25" s="322"/>
      <c r="O25" s="322"/>
      <c r="P25" s="323"/>
    </row>
    <row r="26" spans="1:17" ht="31.5" thickBot="1" x14ac:dyDescent="0.4">
      <c r="A26" s="310" t="s">
        <v>131</v>
      </c>
      <c r="B26" s="135" t="s">
        <v>97</v>
      </c>
      <c r="C26" s="151">
        <f t="shared" ref="C26:C31" si="5">+D26+E26+F26</f>
        <v>40000</v>
      </c>
      <c r="D26" s="114">
        <v>0</v>
      </c>
      <c r="E26" s="234">
        <v>40000</v>
      </c>
      <c r="F26" s="235"/>
      <c r="G26" s="238">
        <v>0.45</v>
      </c>
      <c r="H26" s="245">
        <v>0</v>
      </c>
      <c r="I26" s="247">
        <v>44790.23</v>
      </c>
      <c r="J26" s="244">
        <v>0</v>
      </c>
      <c r="K26" s="246">
        <f>+H26+I26+J26</f>
        <v>44790.23</v>
      </c>
      <c r="L26" s="140"/>
      <c r="M26" s="140"/>
      <c r="N26" s="141">
        <f>+K26/C26</f>
        <v>1.1197557500000002</v>
      </c>
      <c r="O26" s="113">
        <f>+(H26+I26+J26)*0.45</f>
        <v>20155.603500000001</v>
      </c>
      <c r="P26" s="263">
        <v>4</v>
      </c>
      <c r="Q26" s="291" t="s">
        <v>57</v>
      </c>
    </row>
    <row r="27" spans="1:17" ht="78" thickBot="1" x14ac:dyDescent="0.4">
      <c r="A27" s="310"/>
      <c r="B27" s="135" t="s">
        <v>98</v>
      </c>
      <c r="C27" s="151">
        <f t="shared" si="5"/>
        <v>45000</v>
      </c>
      <c r="D27" s="114">
        <v>45000</v>
      </c>
      <c r="E27" s="234"/>
      <c r="F27" s="236"/>
      <c r="G27" s="238">
        <v>0.4</v>
      </c>
      <c r="H27" s="240">
        <v>15000</v>
      </c>
      <c r="I27" s="239"/>
      <c r="J27" s="66"/>
      <c r="K27" s="152"/>
      <c r="L27" s="140"/>
      <c r="M27" s="140"/>
      <c r="N27" s="141"/>
      <c r="O27" s="113">
        <f>+(H27+I27+J27)*0.4</f>
        <v>6000</v>
      </c>
      <c r="P27" s="263">
        <v>4</v>
      </c>
      <c r="Q27" s="291"/>
    </row>
    <row r="28" spans="1:17" ht="62.5" thickBot="1" x14ac:dyDescent="0.4">
      <c r="A28" s="310"/>
      <c r="B28" s="135" t="s">
        <v>99</v>
      </c>
      <c r="C28" s="151">
        <f t="shared" si="5"/>
        <v>30000</v>
      </c>
      <c r="D28" s="114"/>
      <c r="E28" s="234">
        <v>30000</v>
      </c>
      <c r="F28" s="236"/>
      <c r="G28" s="238">
        <v>0.35</v>
      </c>
      <c r="H28" s="240"/>
      <c r="I28" s="239">
        <v>22219.69</v>
      </c>
      <c r="J28" s="66"/>
      <c r="K28" s="152"/>
      <c r="L28" s="140"/>
      <c r="M28" s="140"/>
      <c r="N28" s="141"/>
      <c r="O28" s="113">
        <f>+(H28+I28+J28)*0.36</f>
        <v>7999.0883999999996</v>
      </c>
      <c r="P28" s="263">
        <v>4</v>
      </c>
      <c r="Q28" s="291"/>
    </row>
    <row r="29" spans="1:17" ht="62.5" thickBot="1" x14ac:dyDescent="0.4">
      <c r="A29" s="310"/>
      <c r="B29" s="135" t="s">
        <v>100</v>
      </c>
      <c r="C29" s="151">
        <f t="shared" si="5"/>
        <v>27000</v>
      </c>
      <c r="D29" s="114"/>
      <c r="E29" s="234">
        <v>27000</v>
      </c>
      <c r="F29" s="236"/>
      <c r="G29" s="238">
        <v>0.35</v>
      </c>
      <c r="H29" s="240"/>
      <c r="I29" s="239">
        <v>19767.509999999998</v>
      </c>
      <c r="J29" s="66"/>
      <c r="K29" s="152"/>
      <c r="L29" s="140"/>
      <c r="M29" s="140"/>
      <c r="N29" s="141"/>
      <c r="O29" s="113">
        <f>+(H29+I29+J29)*0.36</f>
        <v>7116.3035999999993</v>
      </c>
      <c r="P29" s="263">
        <v>4</v>
      </c>
      <c r="Q29" s="291"/>
    </row>
    <row r="30" spans="1:17" ht="78" thickBot="1" x14ac:dyDescent="0.4">
      <c r="A30" s="310"/>
      <c r="B30" s="122" t="s">
        <v>101</v>
      </c>
      <c r="C30" s="151">
        <f t="shared" si="5"/>
        <v>26000</v>
      </c>
      <c r="D30" s="114">
        <v>26000</v>
      </c>
      <c r="E30" s="234"/>
      <c r="F30" s="236"/>
      <c r="G30" s="238">
        <v>1</v>
      </c>
      <c r="H30" s="240">
        <v>26000</v>
      </c>
      <c r="I30" s="239"/>
      <c r="J30" s="66"/>
      <c r="K30" s="152">
        <f>+H30+I30+J30</f>
        <v>26000</v>
      </c>
      <c r="L30" s="139"/>
      <c r="M30" s="140"/>
      <c r="N30" s="141">
        <f>+L30/C30</f>
        <v>0</v>
      </c>
      <c r="O30" s="113">
        <f>+(H30+I30+J30)*0.36</f>
        <v>9360</v>
      </c>
      <c r="P30" s="263">
        <v>4</v>
      </c>
      <c r="Q30" s="291"/>
    </row>
    <row r="31" spans="1:17" ht="47" thickBot="1" x14ac:dyDescent="0.4">
      <c r="A31" s="310"/>
      <c r="B31" s="122" t="s">
        <v>102</v>
      </c>
      <c r="C31" s="151">
        <f t="shared" si="5"/>
        <v>20000</v>
      </c>
      <c r="D31" s="114">
        <v>20000</v>
      </c>
      <c r="E31" s="234"/>
      <c r="F31" s="237"/>
      <c r="G31" s="238">
        <v>0.47</v>
      </c>
      <c r="H31" s="241"/>
      <c r="I31" s="239"/>
      <c r="J31" s="66"/>
      <c r="K31" s="152">
        <f>+H31+I31+J31</f>
        <v>0</v>
      </c>
      <c r="L31" s="139"/>
      <c r="M31" s="140"/>
      <c r="N31" s="141">
        <f>+L31+K31/C31</f>
        <v>0</v>
      </c>
      <c r="O31" s="113">
        <f>+(H31+I31+J31)*0.36</f>
        <v>0</v>
      </c>
      <c r="P31" s="263">
        <v>4</v>
      </c>
      <c r="Q31" s="291"/>
    </row>
    <row r="32" spans="1:17" ht="40.25" customHeight="1" thickBot="1" x14ac:dyDescent="0.4">
      <c r="A32" s="298" t="s">
        <v>58</v>
      </c>
      <c r="B32" s="299"/>
      <c r="C32" s="133">
        <f>SUM(C26:C31)</f>
        <v>188000</v>
      </c>
      <c r="D32" s="133">
        <f>SUM(D26:D31)</f>
        <v>91000</v>
      </c>
      <c r="E32" s="133">
        <f>SUM(E26:E31)</f>
        <v>97000</v>
      </c>
      <c r="F32" s="133">
        <f>SUM(F26:F31)</f>
        <v>0</v>
      </c>
      <c r="G32" s="133"/>
      <c r="H32" s="133">
        <f>+SUM(H26:H31)</f>
        <v>41000</v>
      </c>
      <c r="I32" s="133">
        <f>+SUM(I26:I31)</f>
        <v>86777.43</v>
      </c>
      <c r="J32" s="67">
        <f>+SUM(J26:J31)</f>
        <v>0</v>
      </c>
      <c r="K32" s="134">
        <f>+SUM(K26:K31)</f>
        <v>70790.23000000001</v>
      </c>
      <c r="L32" s="133">
        <f>SUM(L26:L31)</f>
        <v>0</v>
      </c>
      <c r="M32" s="133">
        <f>SUM(M26:M31)</f>
        <v>0</v>
      </c>
      <c r="N32" s="133">
        <f t="shared" ref="N32:N45" si="6">+K32/C32</f>
        <v>0.37654377659574473</v>
      </c>
      <c r="O32" s="133">
        <f>SUM(O26:O31)</f>
        <v>50630.995499999997</v>
      </c>
      <c r="P32" s="262"/>
      <c r="Q32" s="153"/>
    </row>
    <row r="33" spans="1:17" ht="62.5" thickBot="1" x14ac:dyDescent="0.4">
      <c r="A33" s="324" t="s">
        <v>132</v>
      </c>
      <c r="B33" s="154" t="s">
        <v>103</v>
      </c>
      <c r="C33" s="218">
        <f>+D33+E33+F33</f>
        <v>42000</v>
      </c>
      <c r="D33" s="212"/>
      <c r="E33" s="225">
        <v>42000</v>
      </c>
      <c r="F33" s="231"/>
      <c r="G33" s="228">
        <v>0.42</v>
      </c>
      <c r="H33" s="222"/>
      <c r="I33" s="219">
        <v>33576.449999999997</v>
      </c>
      <c r="J33" s="209"/>
      <c r="K33" s="213">
        <f>+H33+I33+J33</f>
        <v>33576.449999999997</v>
      </c>
      <c r="L33" s="140"/>
      <c r="M33" s="140"/>
      <c r="N33" s="141">
        <f t="shared" si="6"/>
        <v>0.79943928571428569</v>
      </c>
      <c r="O33" s="113">
        <f>+(H33+I33+J33)*0.36</f>
        <v>12087.521999999999</v>
      </c>
      <c r="P33" s="273">
        <v>4</v>
      </c>
      <c r="Q33" s="293" t="s">
        <v>59</v>
      </c>
    </row>
    <row r="34" spans="1:17" ht="47" thickBot="1" x14ac:dyDescent="0.4">
      <c r="A34" s="325"/>
      <c r="B34" s="157" t="s">
        <v>104</v>
      </c>
      <c r="C34" s="215">
        <f>+D34+E34+F34</f>
        <v>48000</v>
      </c>
      <c r="D34" s="216"/>
      <c r="E34" s="226">
        <v>48000</v>
      </c>
      <c r="F34" s="232"/>
      <c r="G34" s="229">
        <v>0.35</v>
      </c>
      <c r="H34" s="223"/>
      <c r="I34" s="220">
        <v>44116.77</v>
      </c>
      <c r="J34" s="217"/>
      <c r="K34" s="156">
        <f>+H34+I34+J34</f>
        <v>44116.77</v>
      </c>
      <c r="L34" s="140"/>
      <c r="M34" s="140"/>
      <c r="N34" s="141"/>
      <c r="O34" s="113">
        <f>+(H34+I34+J34)*0.36</f>
        <v>15882.037199999999</v>
      </c>
      <c r="P34" s="273">
        <v>4</v>
      </c>
      <c r="Q34" s="294"/>
    </row>
    <row r="35" spans="1:17" ht="47" thickBot="1" x14ac:dyDescent="0.4">
      <c r="A35" s="325"/>
      <c r="B35" s="157" t="s">
        <v>105</v>
      </c>
      <c r="C35" s="155">
        <f>+D35+E35+F35</f>
        <v>30000</v>
      </c>
      <c r="D35" s="207"/>
      <c r="E35" s="225">
        <v>30000</v>
      </c>
      <c r="F35" s="231"/>
      <c r="G35" s="228">
        <v>0.4</v>
      </c>
      <c r="H35" s="222"/>
      <c r="I35" s="219">
        <v>27216.26</v>
      </c>
      <c r="J35" s="209"/>
      <c r="K35" s="213">
        <f>+H35+I35+J35</f>
        <v>27216.26</v>
      </c>
      <c r="L35" s="140"/>
      <c r="M35" s="140"/>
      <c r="N35" s="141"/>
      <c r="O35" s="140"/>
      <c r="P35" s="273">
        <v>3</v>
      </c>
      <c r="Q35" s="294"/>
    </row>
    <row r="36" spans="1:17" ht="59.5" customHeight="1" thickBot="1" x14ac:dyDescent="0.4">
      <c r="A36" s="325"/>
      <c r="B36" s="158" t="s">
        <v>106</v>
      </c>
      <c r="C36" s="155">
        <f>+D36+E36+F36</f>
        <v>43000</v>
      </c>
      <c r="D36" s="204"/>
      <c r="E36" s="227">
        <v>43000</v>
      </c>
      <c r="F36" s="233"/>
      <c r="G36" s="230">
        <v>1</v>
      </c>
      <c r="H36" s="224"/>
      <c r="I36" s="221">
        <v>41396.54</v>
      </c>
      <c r="J36" s="206"/>
      <c r="K36" s="156">
        <f>+H36+I36+J36</f>
        <v>41396.54</v>
      </c>
      <c r="L36" s="140"/>
      <c r="M36" s="140"/>
      <c r="N36" s="141">
        <f t="shared" si="6"/>
        <v>0.96271023255813959</v>
      </c>
      <c r="O36" s="140"/>
      <c r="P36" s="273">
        <v>3</v>
      </c>
      <c r="Q36" s="294"/>
    </row>
    <row r="37" spans="1:17" ht="21" customHeight="1" thickBot="1" x14ac:dyDescent="0.4">
      <c r="A37" s="298" t="s">
        <v>60</v>
      </c>
      <c r="B37" s="299"/>
      <c r="C37" s="133">
        <f>SUM(C33:C36)</f>
        <v>163000</v>
      </c>
      <c r="D37" s="132">
        <f>SUM(D33:D36)</f>
        <v>0</v>
      </c>
      <c r="E37" s="132">
        <f>SUM(E33:E36)</f>
        <v>163000</v>
      </c>
      <c r="F37" s="132">
        <f>SUM(F33:F36)</f>
        <v>0</v>
      </c>
      <c r="G37" s="133"/>
      <c r="H37" s="132">
        <f>+SUM(H33:H36)</f>
        <v>0</v>
      </c>
      <c r="I37" s="132">
        <f>+SUM(I33:I36)</f>
        <v>146306.01999999999</v>
      </c>
      <c r="J37" s="72">
        <f>+SUM(J33:J36)</f>
        <v>0</v>
      </c>
      <c r="K37" s="159">
        <f>+SUM(K33:K36)</f>
        <v>146306.01999999999</v>
      </c>
      <c r="L37" s="133">
        <f>SUM(L33:L36)</f>
        <v>0</v>
      </c>
      <c r="M37" s="133">
        <f>SUM(M33:M36)</f>
        <v>0</v>
      </c>
      <c r="N37" s="145">
        <f t="shared" si="6"/>
        <v>0.897582944785276</v>
      </c>
      <c r="O37" s="133">
        <f>SUM(O33:O36)</f>
        <v>27969.559199999996</v>
      </c>
      <c r="P37" s="263"/>
      <c r="Q37" s="160"/>
    </row>
    <row r="38" spans="1:17" s="161" customFormat="1" ht="30" customHeight="1" thickBot="1" x14ac:dyDescent="0.4">
      <c r="A38" s="300" t="s">
        <v>61</v>
      </c>
      <c r="B38" s="301"/>
      <c r="C38" s="147">
        <f>C32+C37</f>
        <v>351000</v>
      </c>
      <c r="D38" s="147">
        <f>D32+D37</f>
        <v>91000</v>
      </c>
      <c r="E38" s="147">
        <f>E32+E37</f>
        <v>260000</v>
      </c>
      <c r="F38" s="147">
        <f>F32+F37</f>
        <v>0</v>
      </c>
      <c r="G38" s="147"/>
      <c r="H38" s="147">
        <f t="shared" ref="H38:M38" si="7">H32+H37</f>
        <v>41000</v>
      </c>
      <c r="I38" s="147">
        <f t="shared" si="7"/>
        <v>233083.44999999998</v>
      </c>
      <c r="J38" s="71">
        <f t="shared" si="7"/>
        <v>0</v>
      </c>
      <c r="K38" s="243">
        <f>K32+K37</f>
        <v>217096.25</v>
      </c>
      <c r="L38" s="147">
        <f t="shared" si="7"/>
        <v>0</v>
      </c>
      <c r="M38" s="147">
        <f t="shared" si="7"/>
        <v>0</v>
      </c>
      <c r="N38" s="150">
        <f t="shared" si="6"/>
        <v>0.61850783475783477</v>
      </c>
      <c r="O38" s="147">
        <f>O32+O37</f>
        <v>78600.554699999993</v>
      </c>
      <c r="P38" s="266"/>
      <c r="Q38" s="93"/>
    </row>
    <row r="39" spans="1:17" ht="21.75" customHeight="1" thickBot="1" x14ac:dyDescent="0.4">
      <c r="A39" s="302" t="s">
        <v>62</v>
      </c>
      <c r="B39" s="303"/>
      <c r="C39" s="162">
        <f>C38+C24</f>
        <v>773000</v>
      </c>
      <c r="D39" s="163">
        <f>D38+D24</f>
        <v>279000</v>
      </c>
      <c r="E39" s="163">
        <f>E38+E24</f>
        <v>260000</v>
      </c>
      <c r="F39" s="163">
        <f>F38+F24</f>
        <v>234000</v>
      </c>
      <c r="G39" s="162"/>
      <c r="H39" s="162">
        <f t="shared" ref="H39:M39" si="8">H38+H24</f>
        <v>199738.63999999998</v>
      </c>
      <c r="I39" s="162">
        <f t="shared" si="8"/>
        <v>233083.44999999998</v>
      </c>
      <c r="J39" s="73">
        <f t="shared" si="8"/>
        <v>152889.92000000001</v>
      </c>
      <c r="K39" s="164">
        <f t="shared" si="8"/>
        <v>528724.81000000006</v>
      </c>
      <c r="L39" s="162">
        <f t="shared" si="8"/>
        <v>0</v>
      </c>
      <c r="M39" s="162">
        <f t="shared" si="8"/>
        <v>0</v>
      </c>
      <c r="N39" s="165">
        <f t="shared" si="6"/>
        <v>0.68399069857697292</v>
      </c>
      <c r="O39" s="162">
        <f>O38+O24</f>
        <v>193787.30309999999</v>
      </c>
      <c r="P39" s="267"/>
      <c r="Q39" s="161"/>
    </row>
    <row r="40" spans="1:17" ht="21.65" customHeight="1" thickBot="1" x14ac:dyDescent="0.4">
      <c r="A40" s="292" t="s">
        <v>8</v>
      </c>
      <c r="B40" s="139" t="s">
        <v>111</v>
      </c>
      <c r="C40" s="144">
        <f>+D40+E40+F40</f>
        <v>52000</v>
      </c>
      <c r="D40" s="166">
        <v>52000</v>
      </c>
      <c r="E40" s="132"/>
      <c r="F40" s="167"/>
      <c r="G40" s="139"/>
      <c r="H40" s="124">
        <v>31000</v>
      </c>
      <c r="I40" s="125"/>
      <c r="J40" s="202"/>
      <c r="K40" s="156">
        <f>+SUM(H40:J40)</f>
        <v>31000</v>
      </c>
      <c r="L40" s="203"/>
      <c r="M40" s="140"/>
      <c r="N40" s="168">
        <f t="shared" si="6"/>
        <v>0.59615384615384615</v>
      </c>
      <c r="O40" s="113">
        <f>+(H40+I40+J40)*0.36</f>
        <v>11160</v>
      </c>
      <c r="P40" s="263">
        <v>4</v>
      </c>
      <c r="Q40" s="293" t="s">
        <v>63</v>
      </c>
    </row>
    <row r="41" spans="1:17" ht="21.65" customHeight="1" thickBot="1" x14ac:dyDescent="0.4">
      <c r="A41" s="292"/>
      <c r="B41" s="169" t="s">
        <v>112</v>
      </c>
      <c r="C41" s="144">
        <f>+D41+E41+F41</f>
        <v>32000</v>
      </c>
      <c r="D41" s="166">
        <v>32000</v>
      </c>
      <c r="E41" s="132"/>
      <c r="F41" s="167"/>
      <c r="G41" s="139"/>
      <c r="H41" s="207">
        <v>20000</v>
      </c>
      <c r="I41" s="208"/>
      <c r="J41" s="209"/>
      <c r="K41" s="210">
        <f>+SUM(H41:J41)</f>
        <v>20000</v>
      </c>
      <c r="L41" s="139"/>
      <c r="M41" s="140"/>
      <c r="N41" s="168">
        <f t="shared" si="6"/>
        <v>0.625</v>
      </c>
      <c r="O41" s="113">
        <f>+(H41+I41+J41)*0.36</f>
        <v>7200</v>
      </c>
      <c r="P41" s="263">
        <v>4</v>
      </c>
      <c r="Q41" s="294"/>
    </row>
    <row r="42" spans="1:17" ht="21.65" customHeight="1" thickBot="1" x14ac:dyDescent="0.4">
      <c r="A42" s="292"/>
      <c r="B42" s="169" t="s">
        <v>109</v>
      </c>
      <c r="C42" s="144">
        <f>+D42+E42+F42</f>
        <v>38000</v>
      </c>
      <c r="D42" s="166"/>
      <c r="E42" s="132">
        <v>38000</v>
      </c>
      <c r="F42" s="167"/>
      <c r="G42" s="139"/>
      <c r="H42" s="212"/>
      <c r="I42" s="208">
        <v>38317.629999999997</v>
      </c>
      <c r="J42" s="209"/>
      <c r="K42" s="213">
        <f>+SUM(H42:J42)</f>
        <v>38317.629999999997</v>
      </c>
      <c r="L42" s="140"/>
      <c r="M42" s="140"/>
      <c r="N42" s="168"/>
      <c r="O42" s="140"/>
      <c r="P42" s="263">
        <v>1</v>
      </c>
      <c r="Q42" s="294"/>
    </row>
    <row r="43" spans="1:17" ht="21.65" customHeight="1" thickBot="1" x14ac:dyDescent="0.4">
      <c r="A43" s="292"/>
      <c r="B43" s="169" t="s">
        <v>110</v>
      </c>
      <c r="C43" s="144">
        <f>+D43+E43+F43</f>
        <v>31000</v>
      </c>
      <c r="D43" s="166"/>
      <c r="E43" s="132"/>
      <c r="F43" s="211">
        <v>31000</v>
      </c>
      <c r="G43" s="140"/>
      <c r="H43" s="207"/>
      <c r="I43" s="208"/>
      <c r="J43" s="214">
        <v>14184.600000000002</v>
      </c>
      <c r="K43" s="213">
        <f>+SUM(H43:J43)</f>
        <v>14184.600000000002</v>
      </c>
      <c r="L43" s="140"/>
      <c r="M43" s="140"/>
      <c r="N43" s="168"/>
      <c r="O43" s="113">
        <f>+(H43+I43+J43)*0.36</f>
        <v>5106.456000000001</v>
      </c>
      <c r="P43" s="263">
        <v>4</v>
      </c>
      <c r="Q43" s="294"/>
    </row>
    <row r="44" spans="1:17" ht="21.65" customHeight="1" thickBot="1" x14ac:dyDescent="0.4">
      <c r="A44" s="292"/>
      <c r="B44" s="169" t="s">
        <v>113</v>
      </c>
      <c r="C44" s="144">
        <f>+D44+E44+F44</f>
        <v>9000</v>
      </c>
      <c r="D44" s="166">
        <v>9000</v>
      </c>
      <c r="E44" s="132"/>
      <c r="F44" s="167"/>
      <c r="G44" s="139"/>
      <c r="H44" s="204">
        <v>6000</v>
      </c>
      <c r="I44" s="205"/>
      <c r="J44" s="206">
        <v>0</v>
      </c>
      <c r="K44" s="156">
        <f>+SUM(H44:J44)</f>
        <v>6000</v>
      </c>
      <c r="L44" s="140"/>
      <c r="M44" s="140"/>
      <c r="N44" s="168">
        <f t="shared" si="6"/>
        <v>0.66666666666666663</v>
      </c>
      <c r="O44" s="113">
        <f>+(H44+I44+J44)*0.36</f>
        <v>2160</v>
      </c>
      <c r="P44" s="263">
        <v>4</v>
      </c>
      <c r="Q44" s="294"/>
    </row>
    <row r="45" spans="1:17" ht="21.65" customHeight="1" thickBot="1" x14ac:dyDescent="0.4">
      <c r="A45" s="296" t="s">
        <v>9</v>
      </c>
      <c r="B45" s="297"/>
      <c r="C45" s="133">
        <f>SUM(C40:C44)</f>
        <v>162000</v>
      </c>
      <c r="D45" s="132">
        <f>SUM(D40:D44)</f>
        <v>93000</v>
      </c>
      <c r="E45" s="132">
        <f>SUM(E40:E44)</f>
        <v>38000</v>
      </c>
      <c r="F45" s="132">
        <f>SUM(F40:F44)</f>
        <v>31000</v>
      </c>
      <c r="G45" s="133">
        <f>SUM(G40:G44)</f>
        <v>0</v>
      </c>
      <c r="H45" s="133">
        <f>+SUM(H40:H44)</f>
        <v>57000</v>
      </c>
      <c r="I45" s="133">
        <f>+SUM(I40:I44)</f>
        <v>38317.629999999997</v>
      </c>
      <c r="J45" s="67">
        <f>+SUM(J40:J44)</f>
        <v>14184.600000000002</v>
      </c>
      <c r="K45" s="134">
        <f>+SUM(K40:K44)</f>
        <v>109502.23000000001</v>
      </c>
      <c r="L45" s="133">
        <f>SUM(L40:L44)</f>
        <v>0</v>
      </c>
      <c r="M45" s="133">
        <f>SUM(M40:M44)</f>
        <v>0</v>
      </c>
      <c r="N45" s="145">
        <f t="shared" si="6"/>
        <v>0.67593969135802479</v>
      </c>
      <c r="O45" s="133">
        <f>SUM(O40:O44)</f>
        <v>25626.456000000002</v>
      </c>
      <c r="P45" s="262"/>
      <c r="Q45" s="295"/>
    </row>
    <row r="46" spans="1:17" ht="21.65" customHeight="1" thickBot="1" x14ac:dyDescent="0.4">
      <c r="A46" s="170" t="s">
        <v>64</v>
      </c>
      <c r="B46" s="139" t="s">
        <v>77</v>
      </c>
      <c r="C46" s="136">
        <f>+D46+E46+F46</f>
        <v>115000</v>
      </c>
      <c r="D46" s="166">
        <f>60000+25000</f>
        <v>85000</v>
      </c>
      <c r="E46" s="132">
        <v>15000</v>
      </c>
      <c r="F46" s="167">
        <v>15000</v>
      </c>
      <c r="G46" s="139"/>
      <c r="H46" s="171">
        <v>15000</v>
      </c>
      <c r="I46" s="172">
        <v>6800.56</v>
      </c>
      <c r="J46" s="74">
        <v>25190.999999999996</v>
      </c>
      <c r="K46" s="152">
        <f>+H46+I46+J46</f>
        <v>46991.56</v>
      </c>
      <c r="L46" s="139"/>
      <c r="M46" s="140"/>
      <c r="N46" s="168">
        <f t="shared" ref="N46:N53" si="9">+K46/C46</f>
        <v>0.40862226086956521</v>
      </c>
      <c r="O46" s="140"/>
      <c r="P46" s="263">
        <v>5</v>
      </c>
      <c r="Q46" s="293" t="s">
        <v>65</v>
      </c>
    </row>
    <row r="47" spans="1:17" ht="18.75" customHeight="1" thickBot="1" x14ac:dyDescent="0.4">
      <c r="A47" s="296" t="s">
        <v>66</v>
      </c>
      <c r="B47" s="297"/>
      <c r="C47" s="133">
        <f>SUM(C46:C46)</f>
        <v>115000</v>
      </c>
      <c r="D47" s="132">
        <f>SUM(D46:D46)</f>
        <v>85000</v>
      </c>
      <c r="E47" s="132">
        <f>SUM(E46:E46)</f>
        <v>15000</v>
      </c>
      <c r="F47" s="132">
        <f>SUM(F46:F46)</f>
        <v>15000</v>
      </c>
      <c r="G47" s="133">
        <f>SUM(G46:G46)</f>
        <v>0</v>
      </c>
      <c r="H47" s="133">
        <f>+SUM(H46:H46)</f>
        <v>15000</v>
      </c>
      <c r="I47" s="133">
        <f>+SUM(I46:I46)</f>
        <v>6800.56</v>
      </c>
      <c r="J47" s="67">
        <f>+SUM(J46:J46)</f>
        <v>25190.999999999996</v>
      </c>
      <c r="K47" s="134">
        <f>+SUM(K46:K46)</f>
        <v>46991.56</v>
      </c>
      <c r="L47" s="133">
        <f>SUM(L46:L46)</f>
        <v>0</v>
      </c>
      <c r="M47" s="133">
        <f>SUM(M46:M46)</f>
        <v>0</v>
      </c>
      <c r="N47" s="145">
        <f t="shared" si="9"/>
        <v>0.40862226086956521</v>
      </c>
      <c r="O47" s="133">
        <f>SUM(O46:O46)</f>
        <v>0</v>
      </c>
      <c r="P47" s="268"/>
      <c r="Q47" s="295"/>
    </row>
    <row r="48" spans="1:17" ht="20.5" customHeight="1" thickBot="1" x14ac:dyDescent="0.4">
      <c r="A48" s="312" t="s">
        <v>10</v>
      </c>
      <c r="B48" s="173" t="s">
        <v>11</v>
      </c>
      <c r="C48" s="174">
        <f>+D48+E48+F48</f>
        <v>20000</v>
      </c>
      <c r="D48" s="166">
        <v>10000</v>
      </c>
      <c r="E48" s="132">
        <v>5000</v>
      </c>
      <c r="F48" s="167">
        <v>5000</v>
      </c>
      <c r="G48" s="139"/>
      <c r="H48" s="171">
        <v>7000</v>
      </c>
      <c r="I48" s="172">
        <v>10117.629999999999</v>
      </c>
      <c r="J48" s="74">
        <v>4778.67</v>
      </c>
      <c r="K48" s="152">
        <f>+H48+J48+I48</f>
        <v>21896.3</v>
      </c>
      <c r="L48" s="139"/>
      <c r="M48" s="140"/>
      <c r="N48" s="141">
        <f t="shared" si="9"/>
        <v>1.0948149999999999</v>
      </c>
      <c r="O48" s="140"/>
      <c r="P48" s="269">
        <v>2</v>
      </c>
      <c r="Q48" s="293" t="s">
        <v>67</v>
      </c>
    </row>
    <row r="49" spans="1:17" ht="90" customHeight="1" thickBot="1" x14ac:dyDescent="0.4">
      <c r="A49" s="312"/>
      <c r="B49" s="175" t="s">
        <v>76</v>
      </c>
      <c r="C49" s="174">
        <f>+D49+E49+F49</f>
        <v>63500</v>
      </c>
      <c r="D49" s="166">
        <v>23500</v>
      </c>
      <c r="E49" s="132">
        <v>20000</v>
      </c>
      <c r="F49" s="167">
        <v>20000</v>
      </c>
      <c r="G49" s="139"/>
      <c r="H49" s="171">
        <v>13117</v>
      </c>
      <c r="I49" s="172">
        <v>13826.45</v>
      </c>
      <c r="J49" s="74">
        <v>17920.640000000003</v>
      </c>
      <c r="K49" s="152">
        <f>+H49+J49+I49</f>
        <v>44864.090000000004</v>
      </c>
      <c r="L49" s="139"/>
      <c r="M49" s="140"/>
      <c r="N49" s="141">
        <f t="shared" si="9"/>
        <v>0.70652110236220478</v>
      </c>
      <c r="O49" s="140"/>
      <c r="P49" s="269">
        <v>7</v>
      </c>
      <c r="Q49" s="294"/>
    </row>
    <row r="50" spans="1:17" ht="34.25" customHeight="1" thickBot="1" x14ac:dyDescent="0.4">
      <c r="A50" s="312"/>
      <c r="B50" s="173" t="s">
        <v>75</v>
      </c>
      <c r="C50" s="174">
        <f>+D50+E50+F50</f>
        <v>35000</v>
      </c>
      <c r="D50" s="166">
        <v>15000</v>
      </c>
      <c r="E50" s="132">
        <v>10000</v>
      </c>
      <c r="F50" s="167">
        <v>10000</v>
      </c>
      <c r="G50" s="139"/>
      <c r="H50" s="171">
        <v>8000</v>
      </c>
      <c r="I50" s="172">
        <v>17929.23</v>
      </c>
      <c r="J50" s="74">
        <v>13322.080000000002</v>
      </c>
      <c r="K50" s="152">
        <f>+H50+J50+I50</f>
        <v>39251.31</v>
      </c>
      <c r="L50" s="140"/>
      <c r="M50" s="140"/>
      <c r="N50" s="141">
        <f t="shared" si="9"/>
        <v>1.1214659999999999</v>
      </c>
      <c r="O50" s="140"/>
      <c r="P50" s="269">
        <v>3</v>
      </c>
      <c r="Q50" s="294"/>
    </row>
    <row r="51" spans="1:17" ht="19.5" customHeight="1" thickBot="1" x14ac:dyDescent="0.4">
      <c r="A51" s="296" t="s">
        <v>12</v>
      </c>
      <c r="B51" s="297"/>
      <c r="C51" s="176">
        <f>SUM(C48:C50)</f>
        <v>118500</v>
      </c>
      <c r="D51" s="177">
        <f>SUM(D48:D50)</f>
        <v>48500</v>
      </c>
      <c r="E51" s="177">
        <f>SUM(E48:E50)</f>
        <v>35000</v>
      </c>
      <c r="F51" s="177">
        <f>SUM(F48:F50)</f>
        <v>35000</v>
      </c>
      <c r="G51" s="176">
        <f>SUM(G48:G50)</f>
        <v>0</v>
      </c>
      <c r="H51" s="176">
        <f>+SUM(H48:H50)</f>
        <v>28117</v>
      </c>
      <c r="I51" s="176">
        <f>+SUM(I48:I50)</f>
        <v>41873.31</v>
      </c>
      <c r="J51" s="75">
        <f>+SUM(J48:J50)</f>
        <v>36021.390000000007</v>
      </c>
      <c r="K51" s="178">
        <f>+SUM(K48:K50)</f>
        <v>106011.7</v>
      </c>
      <c r="L51" s="176">
        <f>SUM(L48:L50)</f>
        <v>0</v>
      </c>
      <c r="M51" s="176">
        <f>SUM(M48:M50)</f>
        <v>0</v>
      </c>
      <c r="N51" s="145">
        <f t="shared" si="9"/>
        <v>0.89461350210970458</v>
      </c>
      <c r="O51" s="176">
        <f>SUM(O48:O50)</f>
        <v>0</v>
      </c>
      <c r="P51" s="270"/>
      <c r="Q51" s="295"/>
    </row>
    <row r="52" spans="1:17" ht="21.75" customHeight="1" thickBot="1" x14ac:dyDescent="0.4">
      <c r="A52" s="339" t="s">
        <v>68</v>
      </c>
      <c r="B52" s="340"/>
      <c r="C52" s="162">
        <f>+D52+E52+F52</f>
        <v>1168500</v>
      </c>
      <c r="D52" s="162">
        <f>D39+D45+D47+D51</f>
        <v>505500</v>
      </c>
      <c r="E52" s="162">
        <f>E39+E45+E47+E51</f>
        <v>348000</v>
      </c>
      <c r="F52" s="162">
        <f>F39+F45+F47+F51</f>
        <v>315000</v>
      </c>
      <c r="G52" s="162"/>
      <c r="H52" s="162">
        <f t="shared" ref="H52:M52" si="10">H39+H45+H47+H51</f>
        <v>299855.64</v>
      </c>
      <c r="I52" s="162">
        <f t="shared" si="10"/>
        <v>320074.94999999995</v>
      </c>
      <c r="J52" s="73">
        <f t="shared" si="10"/>
        <v>228286.91000000003</v>
      </c>
      <c r="K52" s="164">
        <f t="shared" si="10"/>
        <v>791230.3</v>
      </c>
      <c r="L52" s="162">
        <f t="shared" si="10"/>
        <v>0</v>
      </c>
      <c r="M52" s="162">
        <f t="shared" si="10"/>
        <v>0</v>
      </c>
      <c r="N52" s="165">
        <f t="shared" si="9"/>
        <v>0.67713333333333336</v>
      </c>
      <c r="O52" s="162">
        <f>O39+O45+O47+O51</f>
        <v>219413.7591</v>
      </c>
      <c r="P52" s="267"/>
    </row>
    <row r="53" spans="1:17" ht="22.5" customHeight="1" thickBot="1" x14ac:dyDescent="0.4">
      <c r="A53" s="341" t="s">
        <v>13</v>
      </c>
      <c r="B53" s="342"/>
      <c r="C53" s="136">
        <f>C52*0.07</f>
        <v>81795.000000000015</v>
      </c>
      <c r="D53" s="136">
        <f>D52*0.07</f>
        <v>35385</v>
      </c>
      <c r="E53" s="136">
        <f t="shared" ref="E53:K53" si="11">E52*0.07</f>
        <v>24360.000000000004</v>
      </c>
      <c r="F53" s="136">
        <f t="shared" si="11"/>
        <v>22050.000000000004</v>
      </c>
      <c r="G53" s="136">
        <f t="shared" si="11"/>
        <v>0</v>
      </c>
      <c r="H53" s="136">
        <f t="shared" si="11"/>
        <v>20989.894800000002</v>
      </c>
      <c r="I53" s="136">
        <f t="shared" si="11"/>
        <v>22405.246499999997</v>
      </c>
      <c r="J53" s="136">
        <f t="shared" si="11"/>
        <v>15980.083700000005</v>
      </c>
      <c r="K53" s="136">
        <f t="shared" si="11"/>
        <v>55386.121000000006</v>
      </c>
      <c r="L53" s="169"/>
      <c r="M53" s="179"/>
      <c r="N53" s="170">
        <f t="shared" si="9"/>
        <v>0.67713333333333325</v>
      </c>
      <c r="O53" s="179"/>
      <c r="P53" s="271">
        <v>8</v>
      </c>
    </row>
    <row r="54" spans="1:17" ht="30" customHeight="1" thickBot="1" x14ac:dyDescent="0.4">
      <c r="A54" s="343" t="s">
        <v>14</v>
      </c>
      <c r="B54" s="344"/>
      <c r="C54" s="180">
        <f>+C53+C52</f>
        <v>1250295</v>
      </c>
      <c r="D54" s="181">
        <f>+D53+D52</f>
        <v>540885</v>
      </c>
      <c r="E54" s="181">
        <f>+E53+E52</f>
        <v>372360</v>
      </c>
      <c r="F54" s="181">
        <f>+F53+F52</f>
        <v>337050</v>
      </c>
      <c r="G54" s="180"/>
      <c r="H54" s="180">
        <f>+H53+H52</f>
        <v>320845.53480000002</v>
      </c>
      <c r="I54" s="180">
        <f t="shared" ref="I54:O54" si="12">+I53+I52</f>
        <v>342480.19649999996</v>
      </c>
      <c r="J54" s="76">
        <f>+J53+J52</f>
        <v>244266.99370000005</v>
      </c>
      <c r="K54" s="182">
        <f>+K53+K52</f>
        <v>846616.42100000009</v>
      </c>
      <c r="L54" s="180">
        <f t="shared" si="12"/>
        <v>0</v>
      </c>
      <c r="M54" s="180">
        <f t="shared" si="12"/>
        <v>0</v>
      </c>
      <c r="N54" s="183">
        <f>+K54/C54</f>
        <v>0.67713333333333336</v>
      </c>
      <c r="O54" s="180">
        <f t="shared" si="12"/>
        <v>219413.7591</v>
      </c>
      <c r="P54" s="272"/>
    </row>
    <row r="55" spans="1:17" ht="30" customHeight="1" thickBot="1" x14ac:dyDescent="0.4">
      <c r="C55" s="184" t="s">
        <v>116</v>
      </c>
      <c r="D55" s="77" t="s">
        <v>80</v>
      </c>
      <c r="E55" s="77" t="s">
        <v>114</v>
      </c>
      <c r="F55" s="77" t="s">
        <v>115</v>
      </c>
      <c r="G55" s="77"/>
      <c r="H55" s="77"/>
      <c r="I55" s="77"/>
      <c r="J55" s="77" t="s">
        <v>134</v>
      </c>
      <c r="K55" s="77"/>
      <c r="L55" s="77" t="s">
        <v>4</v>
      </c>
      <c r="M55" s="77" t="s">
        <v>5</v>
      </c>
      <c r="N55" s="77"/>
      <c r="O55" s="185"/>
      <c r="Q55" s="92"/>
    </row>
    <row r="56" spans="1:17" ht="12.75" customHeight="1" x14ac:dyDescent="0.35">
      <c r="H56" s="186" t="s">
        <v>80</v>
      </c>
      <c r="I56" s="186" t="s">
        <v>114</v>
      </c>
      <c r="J56" s="78" t="s">
        <v>115</v>
      </c>
      <c r="O56" s="93">
        <f>+SUM(O6:O20)</f>
        <v>197868.59679999997</v>
      </c>
    </row>
    <row r="57" spans="1:17" ht="16" thickBot="1" x14ac:dyDescent="0.4"/>
    <row r="58" spans="1:17" ht="15" customHeight="1" thickBot="1" x14ac:dyDescent="0.4">
      <c r="B58" s="336" t="s">
        <v>15</v>
      </c>
      <c r="C58" s="337"/>
      <c r="D58" s="337"/>
      <c r="E58" s="337"/>
      <c r="F58" s="337"/>
      <c r="G58" s="337"/>
      <c r="H58" s="337"/>
      <c r="I58" s="337"/>
      <c r="J58" s="337"/>
      <c r="K58" s="337"/>
      <c r="L58" s="337"/>
      <c r="M58" s="337"/>
      <c r="N58" s="337"/>
      <c r="O58" s="338"/>
    </row>
    <row r="59" spans="1:17" ht="41.5" customHeight="1" thickBot="1" x14ac:dyDescent="0.4">
      <c r="B59" s="188" t="s">
        <v>16</v>
      </c>
      <c r="C59" s="189" t="s">
        <v>17</v>
      </c>
      <c r="D59" s="190" t="s">
        <v>18</v>
      </c>
      <c r="E59" s="190"/>
      <c r="F59" s="190"/>
      <c r="G59" s="191" t="s">
        <v>136</v>
      </c>
      <c r="H59" s="192"/>
      <c r="I59" s="193"/>
      <c r="J59" s="80" t="s">
        <v>19</v>
      </c>
      <c r="K59" s="80"/>
      <c r="L59" s="194" t="s">
        <v>20</v>
      </c>
      <c r="M59" s="195" t="s">
        <v>21</v>
      </c>
      <c r="N59" s="332" t="s">
        <v>22</v>
      </c>
      <c r="O59" s="333"/>
    </row>
    <row r="60" spans="1:17" ht="18.649999999999999" customHeight="1" thickBot="1" x14ac:dyDescent="0.4">
      <c r="B60" s="196" t="s">
        <v>80</v>
      </c>
      <c r="C60" s="196">
        <f>D54</f>
        <v>540885</v>
      </c>
      <c r="D60" s="197">
        <f>+H54</f>
        <v>320845.53480000002</v>
      </c>
      <c r="E60" s="197"/>
      <c r="F60" s="197"/>
      <c r="G60" s="198">
        <f>D60</f>
        <v>320845.53480000002</v>
      </c>
      <c r="H60" s="83"/>
      <c r="I60" s="198"/>
      <c r="J60" s="81">
        <v>0</v>
      </c>
      <c r="K60" s="82"/>
      <c r="L60" s="83">
        <f>C60-G60</f>
        <v>220039.46519999998</v>
      </c>
      <c r="M60" s="84">
        <f>G60/C60</f>
        <v>0.59318623145400595</v>
      </c>
      <c r="N60" s="334"/>
      <c r="O60" s="335"/>
    </row>
    <row r="61" spans="1:17" ht="18.649999999999999" customHeight="1" thickBot="1" x14ac:dyDescent="0.4">
      <c r="B61" s="196" t="s">
        <v>114</v>
      </c>
      <c r="C61" s="196">
        <f>+E54</f>
        <v>372360</v>
      </c>
      <c r="D61" s="197">
        <f>+I54</f>
        <v>342480.19649999996</v>
      </c>
      <c r="E61" s="197"/>
      <c r="F61" s="197"/>
      <c r="G61" s="198">
        <f>D61</f>
        <v>342480.19649999996</v>
      </c>
      <c r="H61" s="83"/>
      <c r="I61" s="198"/>
      <c r="J61" s="81"/>
      <c r="K61" s="82"/>
      <c r="L61" s="83">
        <f>C61-G61</f>
        <v>29879.803500000038</v>
      </c>
      <c r="M61" s="84">
        <f>G61/C61</f>
        <v>0.91975560344827578</v>
      </c>
      <c r="N61" s="326"/>
      <c r="O61" s="327"/>
    </row>
    <row r="62" spans="1:17" ht="18.649999999999999" customHeight="1" thickBot="1" x14ac:dyDescent="0.4">
      <c r="B62" s="196" t="s">
        <v>115</v>
      </c>
      <c r="C62" s="196">
        <f>F54</f>
        <v>337050</v>
      </c>
      <c r="D62" s="197">
        <f>J54</f>
        <v>244266.99370000005</v>
      </c>
      <c r="E62" s="197"/>
      <c r="F62" s="197"/>
      <c r="G62" s="198">
        <f>D62</f>
        <v>244266.99370000005</v>
      </c>
      <c r="H62" s="83"/>
      <c r="I62" s="198"/>
      <c r="J62" s="85"/>
      <c r="K62" s="82"/>
      <c r="L62" s="83">
        <f>C62-G62</f>
        <v>92783.00629999995</v>
      </c>
      <c r="M62" s="84">
        <f>G62/C62</f>
        <v>0.72472034920634931</v>
      </c>
      <c r="N62" s="326"/>
      <c r="O62" s="327"/>
    </row>
    <row r="63" spans="1:17" ht="21" customHeight="1" thickBot="1" x14ac:dyDescent="0.4">
      <c r="B63" s="87" t="s">
        <v>23</v>
      </c>
      <c r="C63" s="87">
        <f>+C62+C61+C60</f>
        <v>1250295</v>
      </c>
      <c r="D63" s="87">
        <f>+D62+D61+D60</f>
        <v>907592.72500000009</v>
      </c>
      <c r="E63" s="87">
        <f>+E62+E61+E60</f>
        <v>0</v>
      </c>
      <c r="F63" s="87">
        <f>+F62+F61+F60</f>
        <v>0</v>
      </c>
      <c r="G63" s="87">
        <f>+G62+G61+G60</f>
        <v>907592.72500000009</v>
      </c>
      <c r="H63" s="199"/>
      <c r="I63" s="200"/>
      <c r="J63" s="88"/>
      <c r="K63" s="87"/>
      <c r="L63" s="87">
        <f>C63-G63</f>
        <v>342702.27499999991</v>
      </c>
      <c r="M63" s="86">
        <f>G63/C63</f>
        <v>0.72590286692340611</v>
      </c>
      <c r="N63" s="328"/>
      <c r="O63" s="329"/>
    </row>
    <row r="64" spans="1:17" ht="15" customHeight="1" thickBot="1" x14ac:dyDescent="0.4">
      <c r="B64" s="242" t="s">
        <v>127</v>
      </c>
      <c r="C64" s="89">
        <v>384868.3</v>
      </c>
      <c r="D64" s="89">
        <v>157830.26</v>
      </c>
      <c r="E64" s="89"/>
      <c r="F64" s="89"/>
      <c r="G64" s="89">
        <f>+D64</f>
        <v>157830.26</v>
      </c>
      <c r="H64" s="89"/>
      <c r="I64" s="89"/>
      <c r="J64" s="90"/>
      <c r="K64" s="89"/>
      <c r="L64" s="89"/>
      <c r="M64" s="91">
        <f>+G64/C64</f>
        <v>0.4100890096690219</v>
      </c>
      <c r="N64" s="330"/>
      <c r="O64" s="331"/>
    </row>
    <row r="66" spans="2:9" x14ac:dyDescent="0.35">
      <c r="H66" s="93"/>
      <c r="I66" s="93"/>
    </row>
    <row r="67" spans="2:9" x14ac:dyDescent="0.35">
      <c r="B67" s="201"/>
      <c r="H67" s="93"/>
      <c r="I67" s="93"/>
    </row>
    <row r="68" spans="2:9" x14ac:dyDescent="0.35">
      <c r="H68" s="93"/>
      <c r="I68" s="93"/>
    </row>
    <row r="69" spans="2:9" x14ac:dyDescent="0.35">
      <c r="H69" s="93"/>
      <c r="I69" s="93"/>
    </row>
  </sheetData>
  <autoFilter ref="A3:Q56" xr:uid="{00000000-0009-0000-0000-000001000000}"/>
  <mergeCells count="39">
    <mergeCell ref="A33:A36"/>
    <mergeCell ref="N62:O62"/>
    <mergeCell ref="N63:O63"/>
    <mergeCell ref="N64:O64"/>
    <mergeCell ref="N59:O59"/>
    <mergeCell ref="N60:O60"/>
    <mergeCell ref="N61:O61"/>
    <mergeCell ref="B58:O58"/>
    <mergeCell ref="A52:B52"/>
    <mergeCell ref="A53:B53"/>
    <mergeCell ref="A54:B54"/>
    <mergeCell ref="A5:P5"/>
    <mergeCell ref="A6:A9"/>
    <mergeCell ref="A18:A22"/>
    <mergeCell ref="A32:B32"/>
    <mergeCell ref="A24:B24"/>
    <mergeCell ref="A25:P25"/>
    <mergeCell ref="A26:A31"/>
    <mergeCell ref="Q46:Q47"/>
    <mergeCell ref="A47:B47"/>
    <mergeCell ref="A48:A50"/>
    <mergeCell ref="Q48:Q51"/>
    <mergeCell ref="A51:B51"/>
    <mergeCell ref="B1:L1"/>
    <mergeCell ref="Q26:Q31"/>
    <mergeCell ref="A40:A44"/>
    <mergeCell ref="Q40:Q45"/>
    <mergeCell ref="A45:B45"/>
    <mergeCell ref="Q33:Q36"/>
    <mergeCell ref="A37:B37"/>
    <mergeCell ref="A38:B38"/>
    <mergeCell ref="A39:B39"/>
    <mergeCell ref="Q18:Q22"/>
    <mergeCell ref="Q6:Q9"/>
    <mergeCell ref="A10:B10"/>
    <mergeCell ref="A11:A16"/>
    <mergeCell ref="Q11:Q16"/>
    <mergeCell ref="A17:B17"/>
    <mergeCell ref="A23:B23"/>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PAR CATEGORIE BUDGETAIRE TAXI</vt:lpstr>
      <vt:lpstr>PAR RESULTAT TAXI-MOTO 14-06-21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2021-06-22T16:06:30Z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059aa38-f392-4105-be92-628035578272_Enabled">
    <vt:lpwstr>true</vt:lpwstr>
  </property>
  <property fmtid="{D5CDD505-2E9C-101B-9397-08002B2CF9AE}" pid="3" name="MSIP_Label_2059aa38-f392-4105-be92-628035578272_SetDate">
    <vt:lpwstr>2020-11-06T11:24:43Z</vt:lpwstr>
  </property>
  <property fmtid="{D5CDD505-2E9C-101B-9397-08002B2CF9AE}" pid="4" name="MSIP_Label_2059aa38-f392-4105-be92-628035578272_Method">
    <vt:lpwstr>Standard</vt:lpwstr>
  </property>
  <property fmtid="{D5CDD505-2E9C-101B-9397-08002B2CF9AE}" pid="5" name="MSIP_Label_2059aa38-f392-4105-be92-628035578272_Name">
    <vt:lpwstr>IOMLb0020IN123173</vt:lpwstr>
  </property>
  <property fmtid="{D5CDD505-2E9C-101B-9397-08002B2CF9AE}" pid="6" name="MSIP_Label_2059aa38-f392-4105-be92-628035578272_SiteId">
    <vt:lpwstr>1588262d-23fb-43b4-bd6e-bce49c8e6186</vt:lpwstr>
  </property>
  <property fmtid="{D5CDD505-2E9C-101B-9397-08002B2CF9AE}" pid="7" name="MSIP_Label_2059aa38-f392-4105-be92-628035578272_ActionId">
    <vt:lpwstr>c1675612-ba5d-416f-bb12-d5d436d15e87</vt:lpwstr>
  </property>
  <property fmtid="{D5CDD505-2E9C-101B-9397-08002B2CF9AE}" pid="8" name="MSIP_Label_2059aa38-f392-4105-be92-628035578272_ContentBits">
    <vt:lpwstr>0</vt:lpwstr>
  </property>
</Properties>
</file>