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CT_PROVIDER\Documents\00. Hanitriniony RASON\08. PBF 2022\00. Projet 2022\SECTEC 2022\"/>
    </mc:Choice>
  </mc:AlternateContent>
  <xr:revisionPtr revIDLastSave="0" documentId="13_ncr:1_{088AC087-37D8-4463-B916-E8A71EF7DC77}" xr6:coauthVersionLast="47" xr6:coauthVersionMax="47" xr10:uidLastSave="{00000000-0000-0000-0000-000000000000}"/>
  <bookViews>
    <workbookView xWindow="-120" yWindow="-120" windowWidth="20730" windowHeight="11160" firstSheet="1" activeTab="2" xr2:uid="{00000000-000D-0000-FFFF-FFFF00000000}"/>
  </bookViews>
  <sheets>
    <sheet name="Instructions" sheetId="9" r:id="rId1"/>
    <sheet name="1) Tableau budgétaire 1" sheetId="1" r:id="rId2"/>
    <sheet name="2) Tableau budgétaire 2" sheetId="5" r:id="rId3"/>
    <sheet name="IFR" sheetId="11" r:id="rId4"/>
    <sheet name="3) Notes d'explication" sheetId="3" r:id="rId5"/>
    <sheet name="4) Pour utilisation par PBSO" sheetId="6" r:id="rId6"/>
    <sheet name="5) Pour utilisation par MPTFO" sheetId="4" r:id="rId7"/>
    <sheet name="Dropdowns" sheetId="8" state="hidden" r:id="rId8"/>
    <sheet name="Sheet2" sheetId="7" state="hidden" r:id="rId9"/>
  </sheets>
  <externalReferences>
    <externalReference r:id="rId10"/>
    <externalReference r:id="rId11"/>
  </externalReferences>
  <definedNames>
    <definedName name="_xlnm.Print_Titles" localSheetId="1">'1) Tableau budgétaire 1'!$5:$5</definedName>
    <definedName name="_xlnm.Print_Titles" localSheetId="2">'2) Tableau budgétaire 2'!$4:$4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5" l="1"/>
  <c r="I73" i="5"/>
  <c r="I11" i="5"/>
  <c r="J14" i="1"/>
  <c r="Q39" i="11"/>
  <c r="J26" i="11"/>
  <c r="D26" i="11"/>
  <c r="J25" i="11"/>
  <c r="H25" i="11"/>
  <c r="D25" i="11"/>
  <c r="J22" i="11"/>
  <c r="H22" i="11"/>
  <c r="D22" i="11"/>
  <c r="J61" i="1"/>
  <c r="I23" i="5"/>
  <c r="J17" i="1"/>
  <c r="I22" i="5"/>
  <c r="J20" i="1"/>
  <c r="I33" i="5"/>
  <c r="I37" i="5" s="1"/>
  <c r="I29" i="5" s="1"/>
  <c r="J25" i="1"/>
  <c r="I12" i="5"/>
  <c r="J11" i="1"/>
  <c r="I57" i="5"/>
  <c r="J41" i="1"/>
  <c r="J36" i="1"/>
  <c r="J39" i="1"/>
  <c r="I25" i="5"/>
  <c r="I74" i="5"/>
  <c r="I71" i="5"/>
  <c r="I72" i="5"/>
  <c r="J10" i="1"/>
  <c r="J8" i="1"/>
  <c r="I10" i="5"/>
  <c r="I68" i="5" s="1"/>
  <c r="I9" i="5"/>
  <c r="I8" i="5"/>
  <c r="I66" i="5" s="1"/>
  <c r="G67" i="5"/>
  <c r="G68" i="5"/>
  <c r="G71" i="5"/>
  <c r="F67" i="5"/>
  <c r="F70" i="5"/>
  <c r="F71" i="5"/>
  <c r="E68" i="5"/>
  <c r="E71" i="5"/>
  <c r="D67" i="5"/>
  <c r="D68" i="5"/>
  <c r="D71" i="5"/>
  <c r="D72" i="5"/>
  <c r="G66" i="5"/>
  <c r="F66" i="5"/>
  <c r="C18" i="6"/>
  <c r="C7" i="6"/>
  <c r="I44" i="1"/>
  <c r="H44" i="1"/>
  <c r="J33" i="1"/>
  <c r="J9" i="1" l="1"/>
  <c r="J12" i="1" s="1"/>
  <c r="J26" i="1" s="1"/>
  <c r="I15" i="5"/>
  <c r="I67" i="5"/>
  <c r="I70" i="5"/>
  <c r="I61" i="5"/>
  <c r="I53" i="5" s="1"/>
  <c r="I69" i="5"/>
  <c r="I50" i="5"/>
  <c r="I42" i="5" s="1"/>
  <c r="I26" i="5"/>
  <c r="J42" i="1"/>
  <c r="F21" i="4"/>
  <c r="F22" i="4"/>
  <c r="F23" i="4"/>
  <c r="E23" i="4"/>
  <c r="E25" i="4"/>
  <c r="D22" i="4"/>
  <c r="D23" i="4"/>
  <c r="D24" i="4"/>
  <c r="D25" i="4"/>
  <c r="C21" i="4"/>
  <c r="C22" i="4"/>
  <c r="C23" i="4"/>
  <c r="C24" i="4"/>
  <c r="C25" i="4"/>
  <c r="D20" i="4"/>
  <c r="E22" i="4"/>
  <c r="F20" i="4"/>
  <c r="I18" i="5" l="1"/>
  <c r="I62" i="5"/>
  <c r="J44" i="1"/>
  <c r="J60" i="1" s="1"/>
  <c r="J62" i="1" s="1"/>
  <c r="I75" i="5"/>
  <c r="I7" i="5"/>
  <c r="I38" i="5"/>
  <c r="E22" i="1"/>
  <c r="E20" i="1"/>
  <c r="F9" i="1"/>
  <c r="J75" i="1" l="1"/>
  <c r="J76" i="1" s="1"/>
  <c r="H40" i="1"/>
  <c r="H39" i="1"/>
  <c r="H38" i="1"/>
  <c r="H37" i="1"/>
  <c r="H36" i="1"/>
  <c r="I41" i="1" s="1"/>
  <c r="H35" i="1"/>
  <c r="H32" i="1"/>
  <c r="E31" i="1"/>
  <c r="H31" i="1" s="1"/>
  <c r="E30" i="1"/>
  <c r="H30" i="1" s="1"/>
  <c r="F24" i="1"/>
  <c r="H24" i="1" s="1"/>
  <c r="H23" i="1"/>
  <c r="F22" i="1"/>
  <c r="H22" i="1" s="1"/>
  <c r="H21" i="1"/>
  <c r="F20" i="1"/>
  <c r="H20" i="1" s="1"/>
  <c r="H19" i="1"/>
  <c r="F16" i="1"/>
  <c r="H16" i="1" s="1"/>
  <c r="H15" i="1"/>
  <c r="F14" i="1"/>
  <c r="H14" i="1" s="1"/>
  <c r="H11" i="1"/>
  <c r="F10" i="1"/>
  <c r="E10" i="1"/>
  <c r="H9" i="1"/>
  <c r="H8" i="1"/>
  <c r="I17" i="1" l="1"/>
  <c r="I33" i="1"/>
  <c r="I25" i="1"/>
  <c r="H10" i="1"/>
  <c r="F33" i="5"/>
  <c r="E12" i="5"/>
  <c r="E47" i="5"/>
  <c r="E70" i="5" s="1"/>
  <c r="F57" i="5"/>
  <c r="F69" i="5" s="1"/>
  <c r="F33" i="1"/>
  <c r="G46" i="5"/>
  <c r="G69" i="5" s="1"/>
  <c r="I26" i="1" l="1"/>
  <c r="F10" i="5"/>
  <c r="F68" i="5" s="1"/>
  <c r="E33" i="5" l="1"/>
  <c r="E44" i="5"/>
  <c r="E67" i="5" s="1"/>
  <c r="F12" i="1" l="1"/>
  <c r="E57" i="5"/>
  <c r="E69" i="5" s="1"/>
  <c r="E41" i="1"/>
  <c r="E33" i="1"/>
  <c r="E14" i="5"/>
  <c r="E8" i="5"/>
  <c r="D47" i="5"/>
  <c r="D70" i="5" s="1"/>
  <c r="D33" i="5"/>
  <c r="D69" i="5" s="1"/>
  <c r="E15" i="5" l="1"/>
  <c r="E66" i="5"/>
  <c r="F14" i="5"/>
  <c r="F72" i="5" s="1"/>
  <c r="E72" i="5"/>
  <c r="E12" i="1"/>
  <c r="D12" i="1"/>
  <c r="G15" i="5"/>
  <c r="D12" i="4"/>
  <c r="D13" i="4"/>
  <c r="E61" i="5"/>
  <c r="F61" i="5"/>
  <c r="G61" i="5"/>
  <c r="E50" i="5"/>
  <c r="E37" i="5"/>
  <c r="F37" i="5"/>
  <c r="G37" i="5"/>
  <c r="E26" i="5"/>
  <c r="F26" i="5"/>
  <c r="G26" i="5"/>
  <c r="D8" i="5"/>
  <c r="F15" i="5" l="1"/>
  <c r="D15" i="5"/>
  <c r="D66" i="5"/>
  <c r="D11" i="4"/>
  <c r="E73" i="5"/>
  <c r="E60" i="1" s="1"/>
  <c r="D8" i="4"/>
  <c r="D9" i="4"/>
  <c r="D10" i="4"/>
  <c r="D7" i="4"/>
  <c r="E74" i="5" l="1"/>
  <c r="D14" i="4"/>
  <c r="E53" i="5"/>
  <c r="E42" i="5"/>
  <c r="E25" i="1"/>
  <c r="E17" i="1"/>
  <c r="E18" i="5" s="1"/>
  <c r="E7" i="5"/>
  <c r="E59" i="1"/>
  <c r="D15" i="4" l="1"/>
  <c r="E29" i="5"/>
  <c r="E75" i="5"/>
  <c r="E61" i="1"/>
  <c r="G49" i="5"/>
  <c r="G72" i="5" s="1"/>
  <c r="G47" i="5"/>
  <c r="G59" i="1"/>
  <c r="G50" i="1"/>
  <c r="G41" i="1"/>
  <c r="G53" i="5" s="1"/>
  <c r="G33" i="1"/>
  <c r="G42" i="5" s="1"/>
  <c r="G25" i="1"/>
  <c r="G29" i="5" s="1"/>
  <c r="G17" i="1"/>
  <c r="G18" i="5" s="1"/>
  <c r="G12" i="1"/>
  <c r="G50" i="5" l="1"/>
  <c r="G70" i="5"/>
  <c r="D16" i="4"/>
  <c r="G7" i="5"/>
  <c r="E62" i="1"/>
  <c r="F50" i="5"/>
  <c r="E68" i="1" l="1"/>
  <c r="D21" i="4" s="1"/>
  <c r="F4" i="5"/>
  <c r="E73" i="1" l="1"/>
  <c r="D26" i="4" s="1"/>
  <c r="H68" i="1"/>
  <c r="G21" i="4" s="1"/>
  <c r="C11" i="1"/>
  <c r="C10" i="1"/>
  <c r="C9" i="1"/>
  <c r="D59" i="1" l="1"/>
  <c r="E19" i="4"/>
  <c r="F19" i="4"/>
  <c r="C19" i="4"/>
  <c r="E6" i="4"/>
  <c r="F6" i="4"/>
  <c r="C6" i="4"/>
  <c r="F65" i="5"/>
  <c r="G65" i="5"/>
  <c r="D65" i="5"/>
  <c r="G4" i="5"/>
  <c r="D4" i="5"/>
  <c r="F59" i="1"/>
  <c r="F66" i="1"/>
  <c r="G66" i="1"/>
  <c r="D66" i="1"/>
  <c r="H25" i="4"/>
  <c r="H21" i="4"/>
  <c r="H20" i="4"/>
  <c r="J50" i="1"/>
  <c r="F12" i="4"/>
  <c r="D78" i="1"/>
  <c r="C7" i="4"/>
  <c r="E13" i="4"/>
  <c r="F13" i="4"/>
  <c r="E11" i="4"/>
  <c r="F11" i="4"/>
  <c r="E10" i="4"/>
  <c r="F10" i="4"/>
  <c r="E9" i="4"/>
  <c r="E8" i="4"/>
  <c r="F8" i="4"/>
  <c r="C12" i="4"/>
  <c r="C13" i="4"/>
  <c r="C8" i="4"/>
  <c r="H47" i="1"/>
  <c r="H48" i="1"/>
  <c r="H49" i="1"/>
  <c r="H46" i="1"/>
  <c r="F50" i="1"/>
  <c r="D50" i="1"/>
  <c r="F9" i="4"/>
  <c r="F7" i="4"/>
  <c r="H54" i="5"/>
  <c r="H55" i="5"/>
  <c r="H56" i="5"/>
  <c r="H57" i="5"/>
  <c r="H58" i="5"/>
  <c r="H59" i="5"/>
  <c r="H60" i="5"/>
  <c r="D61" i="5"/>
  <c r="H61" i="5" s="1"/>
  <c r="H43" i="5"/>
  <c r="H44" i="5"/>
  <c r="H45" i="5"/>
  <c r="H46" i="5"/>
  <c r="H47" i="5"/>
  <c r="H48" i="5"/>
  <c r="H49" i="5"/>
  <c r="D50" i="5"/>
  <c r="H19" i="5"/>
  <c r="H20" i="5"/>
  <c r="H21" i="5"/>
  <c r="H22" i="5"/>
  <c r="H23" i="5"/>
  <c r="H24" i="5"/>
  <c r="H25" i="5"/>
  <c r="D26" i="5"/>
  <c r="H30" i="5"/>
  <c r="H31" i="5"/>
  <c r="H32" i="5"/>
  <c r="H33" i="5"/>
  <c r="H34" i="5"/>
  <c r="H35" i="5"/>
  <c r="H36" i="5"/>
  <c r="D37" i="5"/>
  <c r="H8" i="5"/>
  <c r="H9" i="5"/>
  <c r="H10" i="5"/>
  <c r="H11" i="5"/>
  <c r="H12" i="5"/>
  <c r="H13" i="5"/>
  <c r="H14" i="5"/>
  <c r="H15" i="5"/>
  <c r="F41" i="1"/>
  <c r="F53" i="5" s="1"/>
  <c r="F42" i="5"/>
  <c r="F25" i="1"/>
  <c r="F29" i="5" s="1"/>
  <c r="F17" i="1"/>
  <c r="F18" i="5" s="1"/>
  <c r="D17" i="1"/>
  <c r="D18" i="5" s="1"/>
  <c r="F7" i="5"/>
  <c r="D41" i="1"/>
  <c r="D53" i="5" s="1"/>
  <c r="D33" i="1"/>
  <c r="D42" i="5" s="1"/>
  <c r="D25" i="1"/>
  <c r="D29" i="5" s="1"/>
  <c r="D7" i="5"/>
  <c r="H7" i="5" l="1"/>
  <c r="H50" i="5"/>
  <c r="H37" i="5"/>
  <c r="G73" i="5"/>
  <c r="F14" i="4"/>
  <c r="F15" i="4" s="1"/>
  <c r="H50" i="1"/>
  <c r="I50" i="1"/>
  <c r="H29" i="5"/>
  <c r="H66" i="5"/>
  <c r="H71" i="5"/>
  <c r="G13" i="4"/>
  <c r="H68" i="5"/>
  <c r="E12" i="4"/>
  <c r="G12" i="4" s="1"/>
  <c r="H70" i="5"/>
  <c r="H69" i="5"/>
  <c r="C11" i="4"/>
  <c r="G11" i="4" s="1"/>
  <c r="H67" i="5"/>
  <c r="E7" i="4"/>
  <c r="G7" i="4" s="1"/>
  <c r="H72" i="5"/>
  <c r="H26" i="5"/>
  <c r="F73" i="5"/>
  <c r="D73" i="5"/>
  <c r="G8" i="4"/>
  <c r="C10" i="4"/>
  <c r="G10" i="4" s="1"/>
  <c r="C9" i="4"/>
  <c r="G9" i="4" s="1"/>
  <c r="H41" i="1"/>
  <c r="H53" i="5"/>
  <c r="H42" i="5"/>
  <c r="H33" i="1"/>
  <c r="H42" i="1" s="1"/>
  <c r="H25" i="1"/>
  <c r="H18" i="5"/>
  <c r="H17" i="1"/>
  <c r="H12" i="1"/>
  <c r="H73" i="5" l="1"/>
  <c r="D60" i="1"/>
  <c r="D62" i="1" s="1"/>
  <c r="G74" i="5"/>
  <c r="G75" i="5" s="1"/>
  <c r="G60" i="1"/>
  <c r="F74" i="5"/>
  <c r="F60" i="1"/>
  <c r="F61" i="1" s="1"/>
  <c r="I42" i="1"/>
  <c r="H26" i="1"/>
  <c r="F16" i="4"/>
  <c r="E14" i="4"/>
  <c r="E15" i="4" s="1"/>
  <c r="G15" i="4" s="1"/>
  <c r="D75" i="5"/>
  <c r="C14" i="4"/>
  <c r="D21" i="6"/>
  <c r="D25" i="6"/>
  <c r="D22" i="6"/>
  <c r="D23" i="6"/>
  <c r="D24" i="6"/>
  <c r="D12" i="6"/>
  <c r="D11" i="6"/>
  <c r="D14" i="6"/>
  <c r="D10" i="6"/>
  <c r="D13" i="6"/>
  <c r="F75" i="5" l="1"/>
  <c r="H75" i="5" s="1"/>
  <c r="H74" i="5"/>
  <c r="H60" i="1"/>
  <c r="G61" i="1"/>
  <c r="H61" i="1" s="1"/>
  <c r="F62" i="1"/>
  <c r="E16" i="4"/>
  <c r="G14" i="4"/>
  <c r="C16" i="4"/>
  <c r="C19" i="6"/>
  <c r="C8" i="6"/>
  <c r="D67" i="1"/>
  <c r="G62" i="1" l="1"/>
  <c r="G71" i="1" s="1"/>
  <c r="G72" i="1"/>
  <c r="H70" i="1"/>
  <c r="G23" i="4" s="1"/>
  <c r="G16" i="4"/>
  <c r="C20" i="4"/>
  <c r="D73" i="1"/>
  <c r="C26" i="4" s="1"/>
  <c r="H67" i="1"/>
  <c r="H62" i="1" l="1"/>
  <c r="D76" i="1" s="1"/>
  <c r="F24" i="4"/>
  <c r="H71" i="1"/>
  <c r="G24" i="4" s="1"/>
  <c r="G73" i="1"/>
  <c r="F26" i="4" s="1"/>
  <c r="F25" i="4"/>
  <c r="H72" i="1"/>
  <c r="G25" i="4" s="1"/>
  <c r="F73" i="1"/>
  <c r="E26" i="4" s="1"/>
  <c r="H69" i="1"/>
  <c r="G20" i="4"/>
  <c r="D79" i="1" l="1"/>
  <c r="H73" i="1"/>
  <c r="G26" i="4" s="1"/>
  <c r="G22" i="4"/>
</calcChain>
</file>

<file path=xl/sharedStrings.xml><?xml version="1.0" encoding="utf-8"?>
<sst xmlns="http://schemas.openxmlformats.org/spreadsheetml/2006/main" count="642" uniqueCount="539">
  <si>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</si>
  <si>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</si>
  <si>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</si>
  <si>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</si>
  <si>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</si>
  <si>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</si>
  <si>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</si>
  <si>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</si>
  <si>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</si>
  <si>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</si>
  <si>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</si>
  <si>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</si>
  <si>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</si>
  <si>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</si>
  <si>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</si>
  <si>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</si>
  <si>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</si>
  <si>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</si>
  <si>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</si>
  <si>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</si>
  <si>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</si>
  <si>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</si>
  <si>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</si>
  <si>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</si>
  <si>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</si>
  <si>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</si>
  <si>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</si>
  <si>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</si>
  <si>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</si>
  <si>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</si>
  <si>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</si>
  <si>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</si>
  <si>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</si>
  <si>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</si>
  <si>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</si>
  <si>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</si>
  <si>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</si>
  <si>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</si>
  <si>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</si>
  <si>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</si>
  <si>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</si>
  <si>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</si>
  <si>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</si>
  <si>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</si>
  <si>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</si>
  <si>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</si>
  <si>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</si>
  <si>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</si>
  <si>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</si>
  <si>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</si>
  <si>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</si>
  <si>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</si>
  <si>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</si>
  <si>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</si>
  <si>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</si>
  <si>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</si>
  <si>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</si>
  <si>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</si>
  <si>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</si>
  <si>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</si>
  <si>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</si>
  <si>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</si>
  <si>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</si>
  <si>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</si>
  <si>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</si>
  <si>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</si>
  <si>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</si>
  <si>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</si>
  <si>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</si>
  <si>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</si>
  <si>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</si>
  <si>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</si>
  <si>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</si>
  <si>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</si>
  <si>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</si>
  <si>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</si>
  <si>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</si>
  <si>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</si>
  <si>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</si>
  <si>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</si>
  <si>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</si>
  <si>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</si>
  <si>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</si>
  <si>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</si>
  <si>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</si>
  <si>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</si>
  <si>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</si>
  <si>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</si>
  <si>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</si>
  <si>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</si>
  <si>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</si>
  <si>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</si>
  <si>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</si>
  <si>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</si>
  <si>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</si>
  <si>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</si>
  <si>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</si>
  <si>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</si>
  <si>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</si>
  <si>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</si>
  <si>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</si>
  <si>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</si>
  <si>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</si>
  <si>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</si>
  <si>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</si>
  <si>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</si>
  <si>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</si>
  <si>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</si>
  <si>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</si>
  <si>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</si>
  <si>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</si>
  <si>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</si>
  <si>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</si>
  <si>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</si>
  <si>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</si>
  <si>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</si>
  <si>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</si>
  <si>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</si>
  <si>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</si>
  <si>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</si>
  <si>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</si>
  <si>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</si>
  <si>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</si>
  <si>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</si>
  <si>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</si>
  <si>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</si>
  <si>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</si>
  <si>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</si>
  <si>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</si>
  <si>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</si>
  <si>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</si>
  <si>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</si>
  <si>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</si>
  <si>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</si>
  <si>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</si>
  <si>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</si>
  <si>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</si>
  <si>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</si>
  <si>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</si>
  <si>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</si>
  <si>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</si>
  <si>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</si>
  <si>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</si>
  <si>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</si>
  <si>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</si>
  <si>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</si>
  <si>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</si>
  <si>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</si>
  <si>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</si>
  <si>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</si>
  <si>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</si>
  <si>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</si>
  <si>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</si>
  <si>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</si>
  <si>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</si>
  <si>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</si>
  <si>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</si>
  <si>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</si>
  <si>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</si>
  <si>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</si>
  <si>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</si>
  <si>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</si>
  <si>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</si>
  <si>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</si>
  <si>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</si>
  <si>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</si>
  <si>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</si>
  <si>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</si>
  <si>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</si>
  <si>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</si>
  <si>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</si>
  <si>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</si>
  <si>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</si>
  <si>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</si>
  <si>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</si>
  <si>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</si>
  <si>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</si>
  <si>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</si>
  <si>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</si>
  <si>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</si>
  <si>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</si>
  <si>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</si>
  <si>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</si>
  <si>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</si>
  <si>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</si>
  <si>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</si>
  <si>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</si>
  <si>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</si>
  <si>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</si>
  <si>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</si>
  <si>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</si>
  <si>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</si>
  <si>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</si>
  <si>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</si>
  <si>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</si>
  <si>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</si>
  <si>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</si>
  <si>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</si>
  <si>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</si>
  <si>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</si>
  <si>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</si>
  <si>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</si>
  <si>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</si>
  <si>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</si>
  <si>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</si>
  <si>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</si>
  <si>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</si>
  <si>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</si>
  <si>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</si>
  <si>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</si>
  <si>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</si>
  <si>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</si>
  <si>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</si>
  <si>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</si>
  <si>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</si>
  <si>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</si>
  <si>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</si>
  <si>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</si>
  <si>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</si>
  <si>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</si>
  <si>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</si>
  <si>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</si>
  <si>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</si>
  <si>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</si>
  <si>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</si>
  <si>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</si>
  <si>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</si>
  <si>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</si>
  <si>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</si>
  <si>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</si>
  <si>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</si>
  <si>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</si>
  <si>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</si>
  <si>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</si>
  <si>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</si>
  <si>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</si>
  <si>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</si>
  <si>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</si>
  <si>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</si>
  <si>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</si>
  <si>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</si>
  <si>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</si>
  <si>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</si>
  <si>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</si>
  <si>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</si>
  <si>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</si>
  <si>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</si>
  <si>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</si>
  <si>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</si>
  <si>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</si>
  <si>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</si>
  <si>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</si>
  <si>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</si>
  <si>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</si>
  <si>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</si>
  <si>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</si>
  <si>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</si>
  <si>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</si>
  <si>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</si>
  <si>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</si>
  <si>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</si>
  <si>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</si>
  <si>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</si>
  <si>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</si>
  <si>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</si>
  <si>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</si>
  <si>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</si>
  <si>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</si>
  <si>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</si>
  <si>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</si>
  <si>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</si>
  <si>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</si>
  <si>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</si>
  <si>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</si>
  <si>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</si>
  <si>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</si>
  <si>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</si>
  <si>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</si>
  <si>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</si>
  <si>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</si>
  <si>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</si>
  <si>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</si>
  <si>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</si>
  <si>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</si>
  <si>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</si>
  <si>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</si>
  <si>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</si>
  <si>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</si>
  <si>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</si>
  <si>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</si>
  <si>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</si>
  <si>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</si>
  <si>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</si>
  <si>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</si>
  <si>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</si>
  <si>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</si>
  <si>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</si>
  <si>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</si>
  <si>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</si>
  <si>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</si>
  <si>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</si>
  <si>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</si>
  <si>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</si>
  <si>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</si>
  <si>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</si>
  <si>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</si>
  <si>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</si>
  <si>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</si>
  <si>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</si>
  <si>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</si>
  <si>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</si>
  <si>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</si>
  <si>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</si>
  <si>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</si>
  <si>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</si>
  <si>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</si>
  <si>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</si>
  <si>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</si>
  <si>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</si>
  <si>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</si>
  <si>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</si>
  <si>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</si>
  <si>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</si>
  <si>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</si>
  <si>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</si>
  <si>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</si>
  <si>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</si>
  <si>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</si>
  <si>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</si>
  <si>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</si>
  <si>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</si>
  <si>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</si>
  <si>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</si>
  <si>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</si>
  <si>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</si>
  <si>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</si>
  <si>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</si>
  <si>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</si>
  <si>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</si>
  <si>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</si>
  <si>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</si>
  <si>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</si>
  <si>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</si>
  <si>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</si>
  <si>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</si>
  <si>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</si>
  <si>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</si>
  <si>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</si>
  <si>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</si>
  <si>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</si>
  <si>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</si>
  <si>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</si>
  <si>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</si>
  <si>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</si>
  <si>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</si>
  <si>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</si>
  <si>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</si>
  <si>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</si>
  <si>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</si>
  <si>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</si>
  <si>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</si>
  <si>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</si>
  <si>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</si>
  <si>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</si>
  <si>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</si>
  <si>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</si>
  <si>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</si>
  <si>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</si>
  <si>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</si>
  <si>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</si>
  <si>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</si>
  <si>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</si>
  <si>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</si>
  <si>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</si>
  <si>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</si>
  <si>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1.2.4</t>
  </si>
  <si>
    <t>Produit 1.3:</t>
  </si>
  <si>
    <t>Activite 1.3.1</t>
  </si>
  <si>
    <t>Activite 1.3.2</t>
  </si>
  <si>
    <t>Activite 1.3.3</t>
  </si>
  <si>
    <t>Activite 1.3.4</t>
  </si>
  <si>
    <t>Activite 1.3.5</t>
  </si>
  <si>
    <t xml:space="preserve">RESULTAT 2: </t>
  </si>
  <si>
    <t>Produit 2.1</t>
  </si>
  <si>
    <t>Activite 2.1.1</t>
  </si>
  <si>
    <t>Activite 2.1.2</t>
  </si>
  <si>
    <t>Activite 2.1.5</t>
  </si>
  <si>
    <t>Produit 2.2</t>
  </si>
  <si>
    <t>Activite 2.2.1</t>
  </si>
  <si>
    <t>Activite' 2.2.2</t>
  </si>
  <si>
    <t>Activite 2.2.4</t>
  </si>
  <si>
    <t>Activite 2.2.7</t>
  </si>
  <si>
    <t>Activite 2.2.8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</si>
  <si>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</si>
  <si>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</si>
  <si>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</si>
  <si>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</si>
  <si>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</si>
  <si>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</si>
  <si>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</si>
  <si>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</si>
  <si>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</si>
  <si>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</si>
  <si>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</si>
  <si>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</si>
  <si>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</si>
  <si>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</si>
  <si>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</si>
  <si>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</si>
  <si>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</si>
  <si>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</si>
  <si>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</si>
  <si>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</si>
  <si>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</si>
  <si>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</si>
  <si>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</si>
  <si>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</si>
  <si>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</si>
  <si>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</si>
  <si>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</si>
  <si>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</si>
  <si>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</si>
  <si>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</si>
  <si>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</si>
  <si>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</si>
  <si>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</si>
  <si>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</si>
  <si>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</si>
  <si>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</si>
  <si>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</si>
  <si>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</si>
  <si>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</si>
  <si>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</si>
  <si>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</si>
  <si>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</si>
  <si>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</si>
  <si>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</si>
  <si>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</si>
  <si>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</si>
  <si>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</si>
  <si>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</si>
  <si>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</si>
  <si>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</si>
  <si>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</si>
  <si>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</si>
  <si>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</si>
  <si>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</si>
  <si>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</si>
  <si>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</si>
  <si>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La Coordination, monitoring et rapportage des résultats de l’intervention du Fonds de Consolidation de la Paix et de ses projets est maintenue et renforcée à travers l’appui du Secrétariat Technique.  </t>
  </si>
  <si>
    <t>Le staff du Secrétariat Technique est maintenu et ses capacités sont renforcées</t>
  </si>
  <si>
    <t xml:space="preserve">Le Personnel du Secrétariat Technique est maintenu (pendant 30 mois, jusqu’à la fin du PPCP) </t>
  </si>
  <si>
    <t>Budget initial  
(Budget en USD)
UNDP</t>
  </si>
  <si>
    <t xml:space="preserve">Le soutien du FCP est coordonné à travers l’établissement de mécanismes de coordination entre les projets et les partenaires clés contribuant au Plan Prioritaire pour la Consolidation de la Paix et à la cohérence entre les projets et les activités. </t>
  </si>
  <si>
    <t xml:space="preserve">Soutenir, monitorer, et assurer la coordination entre les différentes agences et partenaires de mise en œuvre dans le cadre des projets du PPCP. </t>
  </si>
  <si>
    <t xml:space="preserve">Soutien au développement de projets de qualité, dans le cadre du PPCP. Mener une étude anthropologique sur les défis de stabilisation dans le grand Sud, dans le cadre du troisième domaine Prioritaire. </t>
  </si>
  <si>
    <t xml:space="preserve">S’assurer de l’intégration systématique des aspects genre et des droits de l’homme dans les projets. Deux ateliers spécifiquement dédiés à la question du genre, jeunesse et consolidation de la paix </t>
  </si>
  <si>
    <t xml:space="preserve">Assurer le suivi et évaluation du Plan Prioritaire pour la Consolidation de la Paix en soutenant et conseillant le Comité de Pilotage sur les questions de suivi et évaluation dans le contexte de consolidation de la paix. </t>
  </si>
  <si>
    <t xml:space="preserve">Revoir le PPCP et développer et mettre en œuvre son Plan de Suivi et Evaluation (S&amp;E). </t>
  </si>
  <si>
    <t xml:space="preserve">Mettre en place les mécanismes de suivi et évaluation. </t>
  </si>
  <si>
    <t xml:space="preserve">Etudes sur le niveau de référence et des enquêtes de perception et de qualité. </t>
  </si>
  <si>
    <t xml:space="preserve">Revoir les cadres logiques des projets FCP et s’assurer qu’ils sont consistants avec le PPCP. </t>
  </si>
  <si>
    <t xml:space="preserve">Révision à mi-parcours, y compris missions PBSO et consultances locales pour l’évaluation de fin de financement. </t>
  </si>
  <si>
    <t xml:space="preserve">Le Comité de Pilotage, les Comités techniques conjoints et le Bureau du Coordonnateur Résident du Système des Nations Unies sont soutenus afin d’assurer leur rôle de direction stratégique et de S&amp;E à haut niveau du PPCP. </t>
  </si>
  <si>
    <t xml:space="preserve">Capacités renforcées du Comité de Pilotage, du Secrétariat Technique et des autres partenaires pertinents pour mettre en œuvre la supervision, monitoring et pour guider les activités du FCP  </t>
  </si>
  <si>
    <t xml:space="preserve">Mettre en place le flux d’information régulièrement, réunions du CdP et des CTC. </t>
  </si>
  <si>
    <t xml:space="preserve">Identifier et répondre aux besoins en renforcements des capacités de supervision, conseils stratégiques et fonctions de S&amp;E des partenaires du FCP. </t>
  </si>
  <si>
    <t xml:space="preserve">Faciliter l’organisation de missions de monitoring par le Comité de Pilotage pour revoir la mise en œuvre du Plan Prioritaire, tel que requis. </t>
  </si>
  <si>
    <t xml:space="preserve">Plaidoyer, communication et partenariat/création de réseaux : promouvoir une meilleure compréhension et connaissance du Plan des Priorités et de ses résultats au sein des autorités nationales, de la société civile et du grand public. </t>
  </si>
  <si>
    <t xml:space="preserve">Assurer la compréhension des orientations du Fonds pour la Consolidation de la Paix, y compris les questions de genre et les demandes et matière de rapportage. </t>
  </si>
  <si>
    <t xml:space="preserve">Promouvoir la visibilité des activités du Fonds pour la Consolidation de la Paix dans le pays et parmi les parties intéressées. </t>
  </si>
  <si>
    <t>Appuyer le Système des Nations Unies et le Comité de Pilotage à améliorer la visibilité des activités du FCP dans le pays.</t>
  </si>
  <si>
    <t xml:space="preserve">Lancer une campagne d’information et de visibilité sur les programmes financés par le PBF, ainsi que sur les sujets relatifs à la consolidation de la paix à Madagascar. </t>
  </si>
  <si>
    <t>Lancer une campagne d’information et de visibilité sur les programmes financés par le PBF, ainsi que sur les sujets relatifs à la consolidation de la paix à Madagascar / Appui à la mise en oeuvre d'un processus de discussion sur la rééligibilité de Madagascar au PBF</t>
  </si>
  <si>
    <t>Quatrième tranche</t>
  </si>
  <si>
    <t>Troisième tranche</t>
  </si>
  <si>
    <t>Budget revisé 2020  (budget en USD)
UNDP</t>
  </si>
  <si>
    <t>Budget revisé 2021 (budget en USD)
UNDP</t>
  </si>
  <si>
    <t xml:space="preserve">Cinquième tranche </t>
  </si>
  <si>
    <t xml:space="preserve">Sixième tranche </t>
  </si>
  <si>
    <t>Budget revisé 2019  (budget en USD)
UNDP</t>
  </si>
  <si>
    <t>Activite 2.2.9</t>
  </si>
  <si>
    <t xml:space="preserve">Développer et mettre en œuvre une stratégie de mobilisation de ressources supplémentaires pour les programmes financés par le PBF </t>
  </si>
  <si>
    <t>Activite 1.3.6 - 1.3.9</t>
  </si>
  <si>
    <t xml:space="preserve">Fourth Tranche : </t>
  </si>
  <si>
    <t xml:space="preserve">Fifth Tranche: </t>
  </si>
  <si>
    <t>Sixth Tranche:</t>
  </si>
  <si>
    <t xml:space="preserve">TOTAL $ pour Résultat 1: </t>
  </si>
  <si>
    <t xml:space="preserve">TOTAL $ pour Résultat 2: </t>
  </si>
  <si>
    <t xml:space="preserve">TOTAL (Résultat 1+Résultat 2): </t>
  </si>
  <si>
    <r>
      <rPr>
        <b/>
        <sz val="10"/>
        <color rgb="FF000000"/>
        <rFont val="Calibri"/>
        <family val="2"/>
      </rPr>
      <t xml:space="preserve">United Nations Development Programme
</t>
    </r>
    <r>
      <rPr>
        <b/>
        <sz val="10"/>
        <color rgb="FF000000"/>
        <rFont val="Calibri"/>
        <family val="2"/>
      </rPr>
      <t xml:space="preserve">Interim Financial Report to the </t>
    </r>
    <r>
      <rPr>
        <b/>
        <sz val="10"/>
        <color rgb="FF000000"/>
        <rFont val="Calibri"/>
        <family val="2"/>
      </rPr>
      <t xml:space="preserve">Peacebuilding Fund
</t>
    </r>
    <r>
      <rPr>
        <b/>
        <sz val="10"/>
        <color rgb="FF000000"/>
        <rFont val="Calibri"/>
        <family val="2"/>
      </rPr>
      <t xml:space="preserve">As of </t>
    </r>
    <r>
      <rPr>
        <b/>
        <sz val="10"/>
        <color rgb="FF000000"/>
        <rFont val="Calibri"/>
        <family val="2"/>
      </rPr>
      <t>3 November 2021</t>
    </r>
  </si>
  <si>
    <r>
      <rPr>
        <b/>
        <sz val="9"/>
        <color rgb="FF000000"/>
        <rFont val="Calibri"/>
        <family val="2"/>
      </rPr>
      <t xml:space="preserve">Contributions reference no:
</t>
    </r>
    <r>
      <rPr>
        <b/>
        <sz val="9"/>
        <color rgb="FF000000"/>
        <rFont val="Calibri"/>
        <family val="2"/>
      </rPr>
      <t xml:space="preserve">Country:
</t>
    </r>
    <r>
      <rPr>
        <b/>
        <sz val="9"/>
        <color rgb="FF000000"/>
        <rFont val="Calibri"/>
        <family val="2"/>
      </rPr>
      <t xml:space="preserve">Project:
</t>
    </r>
    <r>
      <rPr>
        <b/>
        <sz val="9"/>
        <color rgb="FF000000"/>
        <rFont val="Calibri"/>
        <family val="2"/>
      </rPr>
      <t xml:space="preserve">Output:
</t>
    </r>
    <r>
      <rPr>
        <b/>
        <sz val="9"/>
        <color rgb="FF000000"/>
        <rFont val="Calibri"/>
        <family val="2"/>
      </rPr>
      <t xml:space="preserve">Output status:
</t>
    </r>
    <r>
      <rPr>
        <b/>
        <sz val="9"/>
        <color rgb="FF000000"/>
        <rFont val="Calibri"/>
        <family val="2"/>
      </rPr>
      <t>Fund:</t>
    </r>
  </si>
  <si>
    <r>
      <rPr>
        <b/>
        <sz val="9"/>
        <color rgb="FF000000"/>
        <rFont val="Calibri"/>
        <family val="2"/>
      </rPr>
      <t xml:space="preserve">00101727
</t>
    </r>
    <r>
      <rPr>
        <b/>
        <sz val="9"/>
        <color rgb="FF000000"/>
        <rFont val="Calibri"/>
        <family val="2"/>
      </rPr>
      <t xml:space="preserve">Madagascar
</t>
    </r>
    <r>
      <rPr>
        <b/>
        <sz val="9"/>
        <color rgb="FF000000"/>
        <rFont val="Calibri"/>
        <family val="2"/>
      </rPr>
      <t>00098696</t>
    </r>
    <r>
      <rPr>
        <b/>
        <sz val="9"/>
        <color rgb="FF000000"/>
        <rFont val="Calibri"/>
        <family val="2"/>
      </rPr>
      <t xml:space="preserve"> - </t>
    </r>
    <r>
      <rPr>
        <b/>
        <sz val="9"/>
        <color rgb="FF000000"/>
        <rFont val="Calibri"/>
        <family val="2"/>
      </rPr>
      <t xml:space="preserve">Appui au Secrétariat Technique du Fonds
</t>
    </r>
    <r>
      <rPr>
        <b/>
        <sz val="9"/>
        <color rgb="FF000000"/>
        <rFont val="Calibri"/>
        <family val="2"/>
      </rPr>
      <t>00101926,00103573</t>
    </r>
    <r>
      <rPr>
        <b/>
        <sz val="9"/>
        <color rgb="FF000000"/>
        <rFont val="Calibri"/>
        <family val="2"/>
      </rPr>
      <t xml:space="preserve"> - </t>
    </r>
    <r>
      <rPr>
        <b/>
        <sz val="9"/>
        <color rgb="FF000000"/>
        <rFont val="Calibri"/>
        <family val="2"/>
      </rPr>
      <t xml:space="preserve">Appui au Secrétariat Technique
</t>
    </r>
    <r>
      <rPr>
        <b/>
        <sz val="9"/>
        <color rgb="FF000000"/>
        <rFont val="Calibri"/>
        <family val="2"/>
      </rPr>
      <t xml:space="preserve">On Going
</t>
    </r>
    <r>
      <rPr>
        <b/>
        <sz val="9"/>
        <color rgb="FF000000"/>
        <rFont val="Calibri"/>
        <family val="2"/>
      </rPr>
      <t>Programme Cost Sharing</t>
    </r>
  </si>
  <si>
    <t/>
  </si>
  <si>
    <t>(in United States dollars)</t>
  </si>
  <si>
    <t>Prior years</t>
  </si>
  <si>
    <t>(1)</t>
  </si>
  <si>
    <t>(2)</t>
  </si>
  <si>
    <t>(3)</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</si>
  <si>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</si>
  <si>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</si>
  <si>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</si>
  <si>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</si>
  <si>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</si>
  <si>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</si>
  <si>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</si>
  <si>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</si>
  <si>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</si>
  <si>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</si>
  <si>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</si>
  <si>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</si>
  <si>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</si>
  <si>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</si>
  <si>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</si>
  <si>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</si>
  <si>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</si>
  <si>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</si>
  <si>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Future Expensesᵉ</t>
  </si>
  <si>
    <t>Balance of un-depreciated assets &amp; inventory purchased</t>
  </si>
  <si>
    <t>Commitments</t>
  </si>
  <si>
    <r>
      <rPr>
        <b/>
        <sz val="9"/>
        <color rgb="FF000000"/>
        <rFont val="Calibri"/>
        <family val="2"/>
      </rPr>
      <t>Receivables Past due, less advance receipts</t>
    </r>
    <r>
      <rPr>
        <b/>
        <sz val="9"/>
        <color rgb="FF000000"/>
        <rFont val="Calibri"/>
        <family val="2"/>
      </rPr>
      <t>ᵉ</t>
    </r>
  </si>
  <si>
    <t>Less: Contributions receivable from donors</t>
  </si>
  <si>
    <t>Available Resourcesᶠ</t>
  </si>
  <si>
    <r>
      <rPr>
        <b/>
        <sz val="9"/>
        <color rgb="FF000000"/>
        <rFont val="Calibri"/>
        <family val="2"/>
      </rPr>
      <t>Total Contributions Revenue</t>
    </r>
    <r>
      <rPr>
        <b/>
        <sz val="9"/>
        <color rgb="FF000000"/>
        <rFont val="Calibri"/>
        <family val="2"/>
      </rPr>
      <t xml:space="preserve"> ᵍ</t>
    </r>
  </si>
  <si>
    <t>Total Contributions Revenue Received ʰ</t>
  </si>
  <si>
    <r>
      <rPr>
        <b/>
        <sz val="9"/>
        <color rgb="FF000000"/>
        <rFont val="Calibri"/>
        <family val="2"/>
      </rPr>
      <t>Total Receivables</t>
    </r>
    <r>
      <rPr>
        <b/>
        <sz val="9"/>
        <color rgb="FF000000"/>
        <rFont val="Calibri"/>
        <family val="2"/>
      </rPr>
      <t xml:space="preserve"> ⁱ</t>
    </r>
  </si>
  <si>
    <r>
      <rPr>
        <b/>
        <sz val="9"/>
        <color rgb="FF000000"/>
        <rFont val="Calibri"/>
        <family val="2"/>
      </rPr>
      <t>Deferred Revenue and Advance Receipts</t>
    </r>
    <r>
      <rPr>
        <b/>
        <sz val="9"/>
        <color rgb="FF000000"/>
        <rFont val="Calibri"/>
        <family val="2"/>
      </rPr>
      <t xml:space="preserve"> ʲ</t>
    </r>
  </si>
  <si>
    <r>
      <rPr>
        <sz val="8"/>
        <color rgb="FF000000"/>
        <rFont val="Calibri"/>
        <family val="2"/>
      </rPr>
      <t xml:space="preserve">a. Contributions represent recognized revenue based on the payment schedule dates of signed agreements.
</t>
    </r>
    <r>
      <rPr>
        <sz val="8"/>
        <color rgb="FF000000"/>
        <rFont val="Calibri"/>
        <family val="2"/>
      </rPr>
      <t xml:space="preserve">b. Other Revenue represents revenue resulting from miscellaneous activities.
</t>
    </r>
    <r>
      <rPr>
        <sz val="8"/>
        <color rgb="FF000000"/>
        <rFont val="Calibri"/>
        <family val="2"/>
      </rPr>
      <t xml:space="preserve">c. Programme support (indirect) cost is calculated based on the expenses excluding amounts of foreign exchange gain/loss.
</t>
    </r>
    <r>
      <rPr>
        <sz val="8"/>
        <color rgb="FF000000"/>
        <rFont val="Calibri"/>
        <family val="2"/>
      </rPr>
      <t xml:space="preserve">d. Balance in column (2) is inclusive of balance in column (1).
</t>
    </r>
    <r>
      <rPr>
        <sz val="8"/>
        <color rgb="FF000000"/>
        <rFont val="Calibri"/>
        <family val="2"/>
      </rPr>
      <t>e. Amounts in column (2) are the balances outstanding as of the report date which are included in the available resources. Amounts in column (1) are shown for information purpose only.</t>
    </r>
  </si>
  <si>
    <r>
      <rPr>
        <sz val="8"/>
        <color rgb="FF000000"/>
        <rFont val="Calibri"/>
        <family val="2"/>
      </rPr>
      <t xml:space="preserve">f. Balance after future expenses, and contributions receivable from donors (i.e. amounts past due) have been accounted for.
</t>
    </r>
    <r>
      <rPr>
        <sz val="8"/>
        <color rgb="FF000000"/>
        <rFont val="Calibri"/>
        <family val="2"/>
      </rPr>
      <t xml:space="preserve">g. Total value of donor contribution as per the signed date of the agreement.
</t>
    </r>
    <r>
      <rPr>
        <sz val="8"/>
        <color rgb="FF000000"/>
        <rFont val="Calibri"/>
        <family val="2"/>
      </rPr>
      <t xml:space="preserve">h. Total cash received to-date.
</t>
    </r>
    <r>
      <rPr>
        <sz val="8"/>
        <color rgb="FF000000"/>
        <rFont val="Calibri"/>
        <family val="2"/>
      </rPr>
      <t xml:space="preserve">i. Total outstanding amount due from donors, comprising both past due and future due receivables.
</t>
    </r>
    <r>
      <rPr>
        <sz val="8"/>
        <color rgb="FF000000"/>
        <rFont val="Calibri"/>
        <family val="2"/>
      </rPr>
      <t>j. Contributions that have been received from donors but yet to be recognized as revenue in future years when payment schedules are realized.</t>
    </r>
  </si>
  <si>
    <t>This is to certify that the above statement of revenue, expenses and available resources is correct and that the expenses were incurred in connection with the approved projects for which funds have been received.</t>
  </si>
  <si>
    <r>
      <rPr>
        <sz val="9"/>
        <color rgb="FF000000"/>
        <rFont val="Calibri"/>
        <family val="2"/>
      </rPr>
      <t xml:space="preserve">Name:
</t>
    </r>
    <r>
      <rPr>
        <sz val="9"/>
        <color rgb="FF000000"/>
        <rFont val="Calibri"/>
        <family val="2"/>
      </rPr>
      <t>Title:</t>
    </r>
  </si>
  <si>
    <t>(Date)</t>
  </si>
  <si>
    <t xml:space="preserve">Niveau des dépenses effectives </t>
  </si>
  <si>
    <t>TOTAL $ RESULTAT 1</t>
  </si>
  <si>
    <t>TOTAL $ RESULTAT 2</t>
  </si>
  <si>
    <t>2022</t>
  </si>
  <si>
    <r>
      <rPr>
        <b/>
        <sz val="9"/>
        <color rgb="FF000000"/>
        <rFont val="Calibri"/>
        <family val="2"/>
      </rPr>
      <t xml:space="preserve">Cumulative to </t>
    </r>
    <r>
      <rPr>
        <b/>
        <sz val="9"/>
        <color rgb="FF000000"/>
        <rFont val="Calibri"/>
        <family val="2"/>
      </rPr>
      <t>2022</t>
    </r>
  </si>
  <si>
    <t>AVAILABLE RESOURCES</t>
  </si>
  <si>
    <t xml:space="preserve">Annexe D - RAPPORT FINANCIER 1er SEMESTRE SECTEC PBF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</si>
</sst>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quot;$&quot;* #,##0_);_(&quot;$&quot;* \(#,##0\);_(&quot;$&quot;* &quot;-&quot;??_);_(@_)"/>
    <numFmt numFmtId="166" formatCode="_-* #,##0.00\ _€_-;\-* #,##0.00\ _€_-;_-* &quot;-&quot;??\ _€_-;_-@_-"/>
    <numFmt numFmtId="167" formatCode="[$-10409]#,##0.00;\(#,##0.00\);&quot;-&quot;"/>
  </numFmts>
  <fonts count="3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rgb="FF000000"/>
      <name val="Calibri"/>
      <family val="2"/>
      <scheme val="minor"/>
    </font>
    <font>
      <b/>
      <i/>
      <sz val="12"/>
      <color theme="1"/>
      <name val="Calibri"/>
      <family val="2"/>
      <scheme val="minor"/>
    </font>
    <font>
      <i/>
      <sz val="12"/>
      <color theme="1"/>
      <name val="Calibri"/>
      <family val="2"/>
      <scheme val="minor"/>
    </font>
    <font>
      <b/>
      <sz val="10"/>
      <color theme="1"/>
      <name val="Calibri"/>
      <family val="2"/>
      <scheme val="minor"/>
    </font>
    <font>
      <sz val="11"/>
      <name val="Calibri"/>
      <family val="2"/>
    </font>
    <font>
      <b/>
      <sz val="10"/>
      <color rgb="FF000000"/>
      <name val="Calibri"/>
      <family val="2"/>
    </font>
    <font>
      <b/>
      <sz val="9"/>
      <color rgb="FF000000"/>
      <name val="Calibri"/>
      <family val="2"/>
    </font>
    <font>
      <sz val="9"/>
      <color rgb="FF000000"/>
      <name val="Calibri"/>
      <family val="2"/>
    </font>
    <font>
      <sz val="8"/>
      <color rgb="FF000000"/>
      <name val="Calibri"/>
      <family val="2"/>
    </font>
    <font>
      <b/>
      <sz val="11"/>
      <name val="Calibri"/>
      <family val="2"/>
    </font>
    <font>
      <sz val="12"/>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2F2F2"/>
        <bgColor indexed="64"/>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s>
  <borders count="7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95">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2" fillId="2" borderId="33" xfId="0" applyFont="1" applyFill="1" applyBorder="1" applyAlignment="1">
      <alignment horizontal="center" wrapText="1"/>
    </xf>
    <xf numFmtId="0" fontId="6" fillId="2" borderId="33" xfId="0" applyFont="1" applyFill="1" applyBorder="1" applyAlignment="1" applyProtection="1">
      <alignment vertical="center" wrapText="1"/>
    </xf>
    <xf numFmtId="164" fontId="2" fillId="2" borderId="32"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6"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28" xfId="2" applyFont="1" applyFill="1" applyBorder="1" applyAlignment="1" applyProtection="1">
      <alignment vertical="center" wrapText="1"/>
      <protection locked="0"/>
    </xf>
    <xf numFmtId="9" fontId="2" fillId="3" borderId="28" xfId="2" applyFont="1" applyFill="1" applyBorder="1" applyAlignment="1" applyProtection="1">
      <alignment horizontal="right" vertical="center" wrapText="1"/>
      <protection locked="0"/>
    </xf>
    <xf numFmtId="9" fontId="0" fillId="0" borderId="0" xfId="2" applyFont="1"/>
    <xf numFmtId="0" fontId="7" fillId="2" borderId="44" xfId="0" applyFont="1" applyFill="1" applyBorder="1" applyAlignment="1" applyProtection="1">
      <alignment vertical="center" wrapText="1"/>
    </xf>
    <xf numFmtId="0" fontId="7" fillId="2" borderId="44" xfId="0" applyFont="1" applyFill="1" applyBorder="1" applyAlignment="1" applyProtection="1">
      <alignment vertical="center" wrapText="1"/>
      <protection locked="0"/>
    </xf>
    <xf numFmtId="0" fontId="3" fillId="2" borderId="21" xfId="0" applyFont="1" applyFill="1" applyBorder="1" applyAlignment="1">
      <alignment wrapText="1"/>
    </xf>
    <xf numFmtId="0" fontId="0" fillId="2" borderId="21" xfId="0" applyFill="1" applyBorder="1" applyAlignment="1">
      <alignment wrapText="1"/>
    </xf>
    <xf numFmtId="0" fontId="3" fillId="2" borderId="22" xfId="0" applyFont="1" applyFill="1" applyBorder="1" applyAlignment="1">
      <alignment wrapText="1"/>
    </xf>
    <xf numFmtId="0" fontId="3" fillId="2" borderId="6" xfId="0" applyFont="1" applyFill="1" applyBorder="1" applyAlignment="1">
      <alignment horizontal="center" vertical="center"/>
    </xf>
    <xf numFmtId="0" fontId="3" fillId="2" borderId="21" xfId="0" applyFont="1" applyFill="1" applyBorder="1" applyAlignment="1">
      <alignment vertical="center" wrapText="1"/>
    </xf>
    <xf numFmtId="164" fontId="5" fillId="2" borderId="8" xfId="1" applyFont="1" applyFill="1" applyBorder="1" applyAlignment="1" applyProtection="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29"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28" xfId="0" applyNumberFormat="1" applyFont="1" applyFill="1" applyBorder="1" applyAlignment="1">
      <alignment wrapText="1"/>
    </xf>
    <xf numFmtId="164" fontId="5" fillId="2" borderId="26" xfId="1" applyFont="1" applyFill="1" applyBorder="1" applyAlignment="1" applyProtection="1">
      <alignment wrapText="1"/>
    </xf>
    <xf numFmtId="164" fontId="5" fillId="2" borderId="27" xfId="1" applyNumberFormat="1" applyFont="1" applyFill="1" applyBorder="1" applyAlignment="1">
      <alignment wrapText="1"/>
    </xf>
    <xf numFmtId="164" fontId="5" fillId="2" borderId="16"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8" xfId="0" applyFont="1" applyFill="1" applyBorder="1" applyAlignment="1" applyProtection="1">
      <alignment vertical="center" wrapText="1"/>
    </xf>
    <xf numFmtId="164" fontId="2" fillId="2" borderId="26" xfId="0" applyNumberFormat="1" applyFont="1" applyFill="1" applyBorder="1" applyAlignment="1">
      <alignment vertical="center" wrapText="1"/>
    </xf>
    <xf numFmtId="164" fontId="0" fillId="2" borderId="16" xfId="1" applyFont="1" applyFill="1" applyBorder="1" applyAlignment="1">
      <alignment vertical="center" wrapText="1"/>
    </xf>
    <xf numFmtId="164" fontId="2" fillId="2" borderId="9" xfId="2" applyNumberFormat="1" applyFont="1" applyFill="1" applyBorder="1" applyAlignment="1">
      <alignment vertical="center" wrapText="1"/>
    </xf>
    <xf numFmtId="164" fontId="3" fillId="2" borderId="13" xfId="0" applyNumberFormat="1" applyFont="1" applyFill="1" applyBorder="1"/>
    <xf numFmtId="0" fontId="5" fillId="2" borderId="29" xfId="0" applyFont="1" applyFill="1" applyBorder="1" applyAlignment="1" applyProtection="1">
      <alignment horizontal="center" vertical="center" wrapText="1"/>
    </xf>
    <xf numFmtId="164" fontId="2" fillId="2" borderId="2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164" fontId="2" fillId="2"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8" borderId="3" xfId="0" applyFont="1" applyFill="1" applyBorder="1" applyAlignment="1" applyProtection="1">
      <alignment horizontal="center" vertical="center" wrapText="1"/>
    </xf>
    <xf numFmtId="0" fontId="0"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164" fontId="14" fillId="0" borderId="0" xfId="1" applyFont="1" applyBorder="1" applyAlignment="1">
      <alignment vertical="center" wrapText="1"/>
    </xf>
    <xf numFmtId="164" fontId="14" fillId="0" borderId="0" xfId="1" applyFont="1" applyFill="1" applyBorder="1" applyAlignment="1">
      <alignment vertical="center" wrapText="1"/>
    </xf>
    <xf numFmtId="164" fontId="12" fillId="3" borderId="0" xfId="1" applyFont="1" applyFill="1" applyBorder="1" applyAlignment="1">
      <alignment horizontal="left" vertical="center" wrapText="1"/>
    </xf>
    <xf numFmtId="164" fontId="12" fillId="0" borderId="0" xfId="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3" borderId="0" xfId="0" applyFont="1" applyFill="1" applyBorder="1" applyAlignment="1">
      <alignment vertical="center" wrapText="1"/>
    </xf>
    <xf numFmtId="0" fontId="5"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ont="1" applyFill="1" applyBorder="1" applyAlignment="1">
      <alignment vertical="center" wrapText="1"/>
    </xf>
    <xf numFmtId="9" fontId="0" fillId="0" borderId="0" xfId="2"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23" fillId="9" borderId="3" xfId="0" applyFont="1" applyFill="1" applyBorder="1" applyAlignment="1" applyProtection="1">
      <alignment vertical="center" wrapText="1"/>
      <protection locked="0"/>
    </xf>
    <xf numFmtId="0" fontId="23" fillId="9"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23" fillId="9" borderId="3" xfId="0" applyFont="1" applyFill="1" applyBorder="1" applyAlignment="1" applyProtection="1">
      <alignment horizontal="justify" vertical="center" wrapText="1"/>
      <protection locked="0"/>
    </xf>
    <xf numFmtId="0" fontId="2" fillId="11" borderId="3"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64" fontId="2" fillId="11" borderId="3" xfId="1" applyNumberFormat="1" applyFont="1" applyFill="1" applyBorder="1" applyAlignment="1" applyProtection="1">
      <alignment horizontal="center" vertical="center" wrapText="1"/>
      <protection locked="0"/>
    </xf>
    <xf numFmtId="164" fontId="2" fillId="3" borderId="0" xfId="1" applyFont="1" applyFill="1" applyBorder="1" applyAlignment="1" applyProtection="1">
      <alignment horizontal="center" vertical="center" wrapText="1"/>
      <protection locked="0"/>
    </xf>
    <xf numFmtId="0" fontId="3" fillId="0" borderId="0" xfId="0" applyFont="1" applyBorder="1" applyAlignment="1">
      <alignment vertical="center" wrapText="1"/>
    </xf>
    <xf numFmtId="164" fontId="2" fillId="11" borderId="3" xfId="1" applyNumberFormat="1" applyFont="1" applyFill="1" applyBorder="1" applyAlignment="1" applyProtection="1">
      <alignment horizontal="center" vertical="center" wrapText="1"/>
    </xf>
    <xf numFmtId="164" fontId="2" fillId="11" borderId="5" xfId="1" applyNumberFormat="1" applyFont="1" applyFill="1" applyBorder="1" applyAlignment="1" applyProtection="1">
      <alignment horizontal="center" vertical="center" wrapText="1"/>
    </xf>
    <xf numFmtId="164" fontId="2" fillId="11" borderId="3" xfId="1" applyFont="1" applyFill="1" applyBorder="1" applyAlignment="1" applyProtection="1">
      <alignment vertical="center" wrapText="1"/>
      <protection locked="0"/>
    </xf>
    <xf numFmtId="164" fontId="2" fillId="11" borderId="3" xfId="1" applyFont="1" applyFill="1" applyBorder="1" applyAlignment="1" applyProtection="1">
      <alignment vertical="center" wrapText="1"/>
    </xf>
    <xf numFmtId="164" fontId="2" fillId="11" borderId="3" xfId="1" applyFont="1" applyFill="1" applyBorder="1" applyAlignment="1" applyProtection="1">
      <alignment horizontal="center" vertical="center" wrapText="1"/>
      <protection locked="0"/>
    </xf>
    <xf numFmtId="164" fontId="2" fillId="11" borderId="3" xfId="0" applyNumberFormat="1" applyFont="1" applyFill="1" applyBorder="1" applyAlignment="1" applyProtection="1">
      <alignment vertical="center" wrapText="1"/>
    </xf>
    <xf numFmtId="164" fontId="2" fillId="11" borderId="13" xfId="1" applyFont="1" applyFill="1" applyBorder="1" applyAlignment="1" applyProtection="1">
      <alignment vertical="center" wrapText="1"/>
    </xf>
    <xf numFmtId="164" fontId="2" fillId="11" borderId="4" xfId="1" applyFont="1" applyFill="1" applyBorder="1" applyAlignment="1" applyProtection="1">
      <alignment vertical="center" wrapText="1"/>
    </xf>
    <xf numFmtId="164" fontId="2" fillId="12" borderId="3" xfId="1" applyFont="1" applyFill="1" applyBorder="1" applyAlignment="1" applyProtection="1">
      <alignment horizontal="center" vertical="center" wrapText="1"/>
      <protection locked="0"/>
    </xf>
    <xf numFmtId="164" fontId="2" fillId="12" borderId="3" xfId="0" applyNumberFormat="1" applyFont="1" applyFill="1" applyBorder="1" applyAlignment="1" applyProtection="1">
      <alignment vertical="center" wrapText="1"/>
    </xf>
    <xf numFmtId="164" fontId="2" fillId="12" borderId="13" xfId="1" applyFont="1" applyFill="1" applyBorder="1" applyAlignment="1" applyProtection="1">
      <alignment vertical="center" wrapText="1"/>
    </xf>
    <xf numFmtId="0" fontId="2" fillId="12" borderId="3" xfId="0" applyFont="1" applyFill="1" applyBorder="1" applyAlignment="1" applyProtection="1">
      <alignment horizontal="center" vertical="center" wrapText="1"/>
      <protection locked="0"/>
    </xf>
    <xf numFmtId="164" fontId="2" fillId="12" borderId="3" xfId="1" applyFont="1" applyFill="1" applyBorder="1" applyAlignment="1" applyProtection="1">
      <alignment vertical="center" wrapText="1"/>
      <protection locked="0"/>
    </xf>
    <xf numFmtId="164" fontId="2" fillId="12" borderId="3" xfId="1" applyFont="1" applyFill="1" applyBorder="1" applyAlignment="1" applyProtection="1">
      <alignment vertical="center" wrapText="1"/>
    </xf>
    <xf numFmtId="164" fontId="2" fillId="12" borderId="3" xfId="1" applyNumberFormat="1" applyFont="1" applyFill="1" applyBorder="1" applyAlignment="1" applyProtection="1">
      <alignment horizontal="center" vertical="center" wrapText="1"/>
      <protection locked="0"/>
    </xf>
    <xf numFmtId="164" fontId="2" fillId="12" borderId="3" xfId="1" applyNumberFormat="1" applyFont="1" applyFill="1" applyBorder="1" applyAlignment="1" applyProtection="1">
      <alignment horizontal="center" vertical="center" wrapText="1"/>
    </xf>
    <xf numFmtId="164" fontId="2" fillId="12" borderId="5" xfId="1" applyNumberFormat="1" applyFont="1" applyFill="1" applyBorder="1" applyAlignment="1" applyProtection="1">
      <alignment horizontal="center" vertical="center" wrapText="1"/>
    </xf>
    <xf numFmtId="164" fontId="2" fillId="12" borderId="4" xfId="1" applyFont="1" applyFill="1" applyBorder="1" applyAlignment="1" applyProtection="1">
      <alignment vertical="center" wrapText="1"/>
    </xf>
    <xf numFmtId="166" fontId="0" fillId="0" borderId="0" xfId="0" applyNumberFormat="1" applyFont="1" applyBorder="1" applyAlignment="1">
      <alignment vertical="center" wrapText="1"/>
    </xf>
    <xf numFmtId="0" fontId="2" fillId="13" borderId="3" xfId="0" applyFont="1" applyFill="1" applyBorder="1" applyAlignment="1" applyProtection="1">
      <alignment horizontal="center" vertical="center" wrapText="1"/>
      <protection locked="0"/>
    </xf>
    <xf numFmtId="164" fontId="5" fillId="13" borderId="3" xfId="1" applyNumberFormat="1" applyFont="1" applyFill="1" applyBorder="1" applyAlignment="1" applyProtection="1">
      <alignment horizontal="center" vertical="center" wrapText="1"/>
      <protection locked="0"/>
    </xf>
    <xf numFmtId="164" fontId="2" fillId="13" borderId="3" xfId="1" applyNumberFormat="1" applyFont="1" applyFill="1" applyBorder="1" applyAlignment="1" applyProtection="1">
      <alignment horizontal="center" vertical="center" wrapText="1"/>
    </xf>
    <xf numFmtId="164" fontId="2" fillId="13" borderId="5" xfId="1" applyNumberFormat="1" applyFont="1" applyFill="1" applyBorder="1" applyAlignment="1" applyProtection="1">
      <alignment horizontal="center" vertical="center" wrapText="1"/>
    </xf>
    <xf numFmtId="164" fontId="5" fillId="13" borderId="3" xfId="1" applyFont="1" applyFill="1" applyBorder="1" applyAlignment="1" applyProtection="1">
      <alignment vertical="center" wrapText="1"/>
      <protection locked="0"/>
    </xf>
    <xf numFmtId="164" fontId="2" fillId="13" borderId="3" xfId="1" applyFont="1" applyFill="1" applyBorder="1" applyAlignment="1" applyProtection="1">
      <alignment vertical="center" wrapText="1"/>
    </xf>
    <xf numFmtId="164" fontId="2" fillId="13" borderId="3" xfId="1" applyFont="1" applyFill="1" applyBorder="1" applyAlignment="1" applyProtection="1">
      <alignment horizontal="center" vertical="center" wrapText="1"/>
      <protection locked="0"/>
    </xf>
    <xf numFmtId="164" fontId="5" fillId="13" borderId="3" xfId="0" applyNumberFormat="1" applyFont="1" applyFill="1" applyBorder="1" applyAlignment="1" applyProtection="1">
      <alignment vertical="center" wrapText="1"/>
    </xf>
    <xf numFmtId="164" fontId="2" fillId="13" borderId="13" xfId="1" applyFont="1" applyFill="1" applyBorder="1" applyAlignment="1" applyProtection="1">
      <alignment vertical="center" wrapText="1"/>
    </xf>
    <xf numFmtId="164" fontId="1" fillId="13" borderId="3" xfId="1" applyNumberFormat="1"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43" fontId="3" fillId="0" borderId="0" xfId="3" applyFont="1" applyBorder="1" applyAlignment="1">
      <alignment vertical="center" wrapText="1"/>
    </xf>
    <xf numFmtId="164" fontId="2"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164" fontId="2" fillId="0" borderId="0" xfId="2" applyNumberFormat="1"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164" fontId="5" fillId="12" borderId="3" xfId="0" applyNumberFormat="1" applyFont="1" applyFill="1" applyBorder="1" applyAlignment="1" applyProtection="1">
      <alignment vertical="center" wrapText="1"/>
    </xf>
    <xf numFmtId="164" fontId="1" fillId="0" borderId="3" xfId="1"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vertical="center" wrapText="1"/>
      <protection locked="0"/>
    </xf>
    <xf numFmtId="164" fontId="2" fillId="12" borderId="13" xfId="1" applyNumberFormat="1" applyFont="1" applyFill="1" applyBorder="1" applyAlignment="1" applyProtection="1">
      <alignment vertical="center" wrapText="1"/>
    </xf>
    <xf numFmtId="164" fontId="2" fillId="13" borderId="4" xfId="1" applyFont="1" applyFill="1" applyBorder="1" applyAlignment="1" applyProtection="1">
      <alignment vertical="center" wrapText="1"/>
    </xf>
    <xf numFmtId="166" fontId="0" fillId="0" borderId="0" xfId="0" applyNumberFormat="1"/>
    <xf numFmtId="164" fontId="5" fillId="11" borderId="33" xfId="0" applyNumberFormat="1" applyFont="1" applyFill="1" applyBorder="1" applyAlignment="1">
      <alignment wrapText="1"/>
    </xf>
    <xf numFmtId="164" fontId="24" fillId="12" borderId="3" xfId="1" applyNumberFormat="1" applyFont="1" applyFill="1" applyBorder="1" applyAlignment="1" applyProtection="1">
      <alignment horizontal="center" vertical="center" wrapText="1"/>
      <protection locked="0"/>
    </xf>
    <xf numFmtId="164" fontId="1" fillId="12" borderId="3" xfId="1" applyNumberFormat="1" applyFont="1" applyFill="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protection locked="0"/>
    </xf>
    <xf numFmtId="164" fontId="1" fillId="13" borderId="3" xfId="1" applyFont="1" applyFill="1" applyBorder="1" applyAlignment="1" applyProtection="1">
      <alignment horizontal="center" vertical="center" wrapText="1"/>
      <protection locked="0"/>
    </xf>
    <xf numFmtId="164" fontId="5" fillId="13" borderId="33" xfId="0" applyNumberFormat="1" applyFont="1" applyFill="1" applyBorder="1" applyAlignment="1">
      <alignment wrapText="1"/>
    </xf>
    <xf numFmtId="164" fontId="5" fillId="13" borderId="27" xfId="1" applyNumberFormat="1" applyFont="1" applyFill="1" applyBorder="1" applyAlignment="1">
      <alignment wrapText="1"/>
    </xf>
    <xf numFmtId="164" fontId="2" fillId="13" borderId="13" xfId="1" applyNumberFormat="1" applyFont="1" applyFill="1" applyBorder="1" applyAlignment="1">
      <alignment wrapText="1"/>
    </xf>
    <xf numFmtId="0" fontId="2" fillId="14" borderId="33" xfId="0" applyFont="1" applyFill="1" applyBorder="1" applyAlignment="1">
      <alignment horizontal="center" wrapText="1"/>
    </xf>
    <xf numFmtId="164" fontId="5" fillId="14" borderId="33" xfId="0" applyNumberFormat="1" applyFont="1" applyFill="1" applyBorder="1" applyAlignment="1">
      <alignment wrapText="1"/>
    </xf>
    <xf numFmtId="164" fontId="5" fillId="14" borderId="5" xfId="0" applyNumberFormat="1" applyFont="1" applyFill="1" applyBorder="1" applyAlignment="1">
      <alignment wrapText="1"/>
    </xf>
    <xf numFmtId="164" fontId="5" fillId="14" borderId="27" xfId="1" applyNumberFormat="1" applyFont="1" applyFill="1" applyBorder="1" applyAlignment="1">
      <alignment wrapText="1"/>
    </xf>
    <xf numFmtId="164" fontId="2" fillId="14" borderId="13" xfId="1" applyNumberFormat="1" applyFont="1" applyFill="1" applyBorder="1" applyAlignment="1">
      <alignment wrapText="1"/>
    </xf>
    <xf numFmtId="0" fontId="2" fillId="11" borderId="33" xfId="0" applyFont="1" applyFill="1" applyBorder="1" applyAlignment="1">
      <alignment horizontal="center" wrapText="1"/>
    </xf>
    <xf numFmtId="164" fontId="5" fillId="11" borderId="5" xfId="0" applyNumberFormat="1" applyFont="1" applyFill="1" applyBorder="1" applyAlignment="1">
      <alignment wrapText="1"/>
    </xf>
    <xf numFmtId="164" fontId="5" fillId="11" borderId="27" xfId="1" applyNumberFormat="1" applyFont="1" applyFill="1" applyBorder="1" applyAlignment="1">
      <alignment wrapText="1"/>
    </xf>
    <xf numFmtId="164" fontId="2" fillId="11" borderId="13" xfId="1" applyNumberFormat="1" applyFont="1" applyFill="1" applyBorder="1" applyAlignment="1">
      <alignment wrapText="1"/>
    </xf>
    <xf numFmtId="0" fontId="2" fillId="11" borderId="3" xfId="0" applyFont="1" applyFill="1" applyBorder="1" applyAlignment="1">
      <alignment horizontal="center" vertical="center" wrapText="1"/>
    </xf>
    <xf numFmtId="164" fontId="2" fillId="11" borderId="3" xfId="1" applyFont="1" applyFill="1" applyBorder="1" applyAlignment="1">
      <alignment vertical="center" wrapText="1"/>
    </xf>
    <xf numFmtId="164" fontId="3" fillId="11" borderId="13" xfId="0" applyNumberFormat="1" applyFont="1" applyFill="1" applyBorder="1"/>
    <xf numFmtId="0" fontId="2" fillId="14" borderId="3" xfId="0" applyFont="1" applyFill="1" applyBorder="1" applyAlignment="1">
      <alignment horizontal="center" vertical="center" wrapText="1"/>
    </xf>
    <xf numFmtId="164" fontId="2" fillId="14" borderId="3" xfId="1" applyFont="1" applyFill="1" applyBorder="1" applyAlignment="1">
      <alignment vertical="center" wrapText="1"/>
    </xf>
    <xf numFmtId="164" fontId="3" fillId="14" borderId="13" xfId="0" applyNumberFormat="1" applyFont="1" applyFill="1" applyBorder="1"/>
    <xf numFmtId="164" fontId="2" fillId="13" borderId="3" xfId="1" applyFont="1" applyFill="1" applyBorder="1" applyAlignment="1">
      <alignment vertical="center" wrapText="1"/>
    </xf>
    <xf numFmtId="164" fontId="3" fillId="13" borderId="13" xfId="0" applyNumberFormat="1" applyFont="1" applyFill="1" applyBorder="1"/>
    <xf numFmtId="0" fontId="2" fillId="2" borderId="47" xfId="0" applyFont="1" applyFill="1" applyBorder="1" applyAlignment="1">
      <alignment horizontal="center" vertical="center" wrapText="1"/>
    </xf>
    <xf numFmtId="9" fontId="2" fillId="2" borderId="44" xfId="2" applyFont="1" applyFill="1" applyBorder="1" applyAlignment="1">
      <alignment vertical="center" wrapText="1"/>
    </xf>
    <xf numFmtId="9" fontId="2" fillId="2" borderId="48" xfId="2" applyFont="1" applyFill="1" applyBorder="1" applyAlignment="1">
      <alignment vertical="center" wrapText="1"/>
    </xf>
    <xf numFmtId="9" fontId="2" fillId="2" borderId="49" xfId="2" applyFont="1" applyFill="1" applyBorder="1" applyAlignment="1">
      <alignment vertical="center" wrapText="1"/>
    </xf>
    <xf numFmtId="164" fontId="2" fillId="12" borderId="13" xfId="1" applyNumberFormat="1" applyFont="1" applyFill="1" applyBorder="1" applyAlignment="1" applyProtection="1">
      <alignment horizontal="center" vertical="center" wrapText="1"/>
      <protection locked="0"/>
    </xf>
    <xf numFmtId="166" fontId="5" fillId="0" borderId="0" xfId="0" applyNumberFormat="1" applyFont="1"/>
    <xf numFmtId="164" fontId="3" fillId="2" borderId="14" xfId="0" applyNumberFormat="1" applyFont="1" applyFill="1" applyBorder="1"/>
    <xf numFmtId="164" fontId="5" fillId="14" borderId="3" xfId="1" applyNumberFormat="1" applyFont="1" applyFill="1" applyBorder="1" applyAlignment="1">
      <alignment wrapText="1"/>
    </xf>
    <xf numFmtId="0" fontId="2" fillId="2" borderId="5" xfId="0" applyFont="1" applyFill="1" applyBorder="1" applyAlignment="1" applyProtection="1">
      <alignment vertical="center" wrapText="1"/>
    </xf>
    <xf numFmtId="164" fontId="2" fillId="15" borderId="5" xfId="1" applyNumberFormat="1" applyFont="1" applyFill="1" applyBorder="1" applyAlignment="1" applyProtection="1">
      <alignment horizontal="center" vertical="center" wrapText="1"/>
    </xf>
    <xf numFmtId="164" fontId="2" fillId="0" borderId="2" xfId="1"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49" fontId="5" fillId="3" borderId="0" xfId="1" applyNumberFormat="1" applyFont="1" applyFill="1" applyBorder="1" applyAlignment="1" applyProtection="1">
      <alignment horizontal="left" vertical="center" wrapText="1"/>
      <protection locked="0"/>
    </xf>
    <xf numFmtId="164" fontId="2" fillId="16" borderId="51" xfId="1" applyNumberFormat="1" applyFont="1" applyFill="1" applyBorder="1" applyAlignment="1" applyProtection="1">
      <alignment horizontal="center" vertical="center" wrapText="1"/>
    </xf>
    <xf numFmtId="164" fontId="2" fillId="16" borderId="52" xfId="1" applyNumberFormat="1" applyFont="1" applyFill="1" applyBorder="1" applyAlignment="1" applyProtection="1">
      <alignment horizontal="center" vertical="center" wrapText="1"/>
    </xf>
    <xf numFmtId="0" fontId="27" fillId="0" borderId="0" xfId="0" applyFont="1"/>
    <xf numFmtId="0" fontId="7" fillId="2" borderId="64" xfId="0" applyFont="1" applyFill="1" applyBorder="1" applyAlignment="1" applyProtection="1">
      <alignment vertical="center" wrapText="1"/>
    </xf>
    <xf numFmtId="164" fontId="2" fillId="12" borderId="33" xfId="1" applyNumberFormat="1" applyFont="1" applyFill="1" applyBorder="1" applyAlignment="1" applyProtection="1">
      <alignment horizontal="center" vertical="center" wrapText="1"/>
      <protection locked="0"/>
    </xf>
    <xf numFmtId="164" fontId="2" fillId="2" borderId="51" xfId="1"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164" fontId="2" fillId="12" borderId="51" xfId="1" applyNumberFormat="1" applyFont="1" applyFill="1" applyBorder="1" applyAlignment="1" applyProtection="1">
      <alignment horizontal="center" vertical="center" wrapText="1"/>
      <protection locked="0"/>
    </xf>
    <xf numFmtId="0" fontId="25" fillId="2" borderId="44" xfId="0" applyFont="1" applyFill="1" applyBorder="1" applyAlignment="1" applyProtection="1">
      <alignment horizontal="right" vertical="center" wrapText="1"/>
    </xf>
    <xf numFmtId="0" fontId="24" fillId="2" borderId="44" xfId="0" applyFont="1" applyFill="1" applyBorder="1" applyAlignment="1" applyProtection="1">
      <alignment horizontal="center" vertical="center" wrapText="1"/>
    </xf>
    <xf numFmtId="0" fontId="2" fillId="2" borderId="67" xfId="0" applyFont="1" applyFill="1" applyBorder="1" applyAlignment="1">
      <alignment horizontal="center" vertical="center" wrapText="1"/>
    </xf>
    <xf numFmtId="164" fontId="2" fillId="2" borderId="65" xfId="1" applyFont="1" applyFill="1" applyBorder="1" applyAlignment="1" applyProtection="1">
      <alignment vertical="center" wrapText="1"/>
    </xf>
    <xf numFmtId="164" fontId="26" fillId="2" borderId="27" xfId="1" applyFont="1" applyFill="1" applyBorder="1" applyAlignment="1" applyProtection="1">
      <alignment horizontal="center" vertical="center" wrapText="1"/>
      <protection locked="0"/>
    </xf>
    <xf numFmtId="0" fontId="26" fillId="13" borderId="27" xfId="0" applyFont="1" applyFill="1" applyBorder="1" applyAlignment="1" applyProtection="1">
      <alignment horizontal="center" vertical="center" wrapText="1"/>
      <protection locked="0"/>
    </xf>
    <xf numFmtId="0" fontId="26" fillId="12" borderId="27" xfId="0" applyFont="1" applyFill="1" applyBorder="1" applyAlignment="1" applyProtection="1">
      <alignment horizontal="center" vertical="center" wrapText="1"/>
      <protection locked="0"/>
    </xf>
    <xf numFmtId="0" fontId="26" fillId="2" borderId="70" xfId="0" applyFont="1" applyFill="1" applyBorder="1" applyAlignment="1">
      <alignment horizontal="center" vertical="center" wrapText="1"/>
    </xf>
    <xf numFmtId="0" fontId="27" fillId="0" borderId="0" xfId="0" applyFont="1"/>
    <xf numFmtId="4" fontId="27" fillId="0" borderId="0" xfId="0" applyNumberFormat="1" applyFont="1"/>
    <xf numFmtId="167" fontId="27" fillId="0" borderId="0" xfId="0" applyNumberFormat="1" applyFont="1"/>
    <xf numFmtId="0" fontId="26" fillId="17" borderId="27" xfId="0" applyFont="1" applyFill="1" applyBorder="1" applyAlignment="1" applyProtection="1">
      <alignment horizontal="center" vertical="center" wrapText="1"/>
      <protection locked="0"/>
    </xf>
    <xf numFmtId="164" fontId="1" fillId="17" borderId="33" xfId="1" applyFont="1" applyFill="1" applyBorder="1" applyAlignment="1" applyProtection="1">
      <alignment horizontal="center" vertical="center" wrapText="1"/>
      <protection locked="0"/>
    </xf>
    <xf numFmtId="164" fontId="1" fillId="17" borderId="3" xfId="1" applyFont="1" applyFill="1" applyBorder="1" applyAlignment="1" applyProtection="1">
      <alignment horizontal="center" vertical="center" wrapText="1"/>
      <protection locked="0"/>
    </xf>
    <xf numFmtId="165" fontId="1" fillId="17" borderId="33" xfId="1" applyNumberFormat="1" applyFont="1" applyFill="1" applyBorder="1" applyAlignment="1" applyProtection="1">
      <alignment horizontal="center" vertical="center" wrapText="1"/>
      <protection locked="0"/>
    </xf>
    <xf numFmtId="165" fontId="1" fillId="17" borderId="3" xfId="1" applyNumberFormat="1" applyFont="1" applyFill="1" applyBorder="1" applyAlignment="1" applyProtection="1">
      <alignment horizontal="center" vertical="center" wrapText="1"/>
      <protection locked="0"/>
    </xf>
    <xf numFmtId="164" fontId="5" fillId="17" borderId="33" xfId="1" applyNumberFormat="1" applyFont="1" applyFill="1" applyBorder="1" applyAlignment="1" applyProtection="1">
      <alignment horizontal="center" vertical="center" wrapText="1"/>
      <protection locked="0"/>
    </xf>
    <xf numFmtId="164" fontId="5" fillId="17" borderId="3" xfId="1" applyNumberFormat="1" applyFont="1" applyFill="1" applyBorder="1" applyAlignment="1" applyProtection="1">
      <alignment horizontal="center" vertical="center" wrapText="1"/>
      <protection locked="0"/>
    </xf>
    <xf numFmtId="164" fontId="2" fillId="17" borderId="51" xfId="1" applyFont="1" applyFill="1" applyBorder="1" applyAlignment="1" applyProtection="1">
      <alignment horizontal="center" vertical="center" wrapText="1"/>
      <protection locked="0"/>
    </xf>
    <xf numFmtId="0" fontId="26" fillId="5" borderId="45" xfId="0" applyFont="1" applyFill="1" applyBorder="1" applyAlignment="1">
      <alignment horizontal="center" vertical="center" wrapText="1"/>
    </xf>
    <xf numFmtId="0" fontId="26" fillId="5" borderId="6" xfId="0" applyFont="1" applyFill="1" applyBorder="1" applyAlignment="1">
      <alignment horizontal="center" vertical="center" wrapText="1"/>
    </xf>
    <xf numFmtId="164" fontId="5" fillId="5" borderId="3" xfId="1"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xf>
    <xf numFmtId="164" fontId="5" fillId="5" borderId="44" xfId="1" applyFont="1" applyFill="1" applyBorder="1" applyAlignment="1" applyProtection="1">
      <alignment vertical="center" wrapText="1"/>
      <protection locked="0"/>
    </xf>
    <xf numFmtId="164" fontId="25" fillId="5" borderId="44" xfId="1" applyFont="1" applyFill="1" applyBorder="1" applyAlignment="1" applyProtection="1">
      <alignment vertical="center" wrapText="1"/>
      <protection locked="0"/>
    </xf>
    <xf numFmtId="164" fontId="2" fillId="5" borderId="49" xfId="1" applyFont="1" applyFill="1" applyBorder="1" applyAlignment="1" applyProtection="1">
      <alignment vertical="center" wrapText="1"/>
      <protection locked="0"/>
    </xf>
    <xf numFmtId="166" fontId="0" fillId="0" borderId="0" xfId="0" applyNumberFormat="1" applyFont="1" applyFill="1" applyBorder="1" applyAlignment="1">
      <alignment vertical="center" wrapText="1"/>
    </xf>
    <xf numFmtId="164" fontId="2" fillId="5" borderId="3" xfId="1" applyFont="1" applyFill="1" applyBorder="1" applyAlignment="1" applyProtection="1">
      <alignment horizontal="center" vertical="center" wrapText="1"/>
    </xf>
    <xf numFmtId="164" fontId="2" fillId="12" borderId="5" xfId="1" applyNumberFormat="1" applyFont="1" applyFill="1" applyBorder="1" applyAlignment="1" applyProtection="1">
      <alignment horizontal="center" vertical="center" wrapText="1"/>
      <protection locked="0"/>
    </xf>
    <xf numFmtId="164" fontId="2" fillId="5" borderId="5" xfId="1" applyFont="1" applyFill="1" applyBorder="1" applyAlignment="1" applyProtection="1">
      <alignment horizontal="center" vertical="center" wrapText="1"/>
    </xf>
    <xf numFmtId="164" fontId="2" fillId="11" borderId="51" xfId="1" applyNumberFormat="1" applyFont="1" applyFill="1" applyBorder="1" applyAlignment="1" applyProtection="1">
      <alignment horizontal="center" vertical="center" wrapText="1"/>
    </xf>
    <xf numFmtId="164" fontId="2" fillId="11" borderId="52" xfId="1" applyNumberFormat="1" applyFont="1" applyFill="1" applyBorder="1" applyAlignment="1" applyProtection="1">
      <alignment horizontal="center" vertical="center" wrapText="1"/>
    </xf>
    <xf numFmtId="0" fontId="5" fillId="0" borderId="0" xfId="0" applyFont="1" applyBorder="1" applyAlignment="1">
      <alignment vertical="center" wrapText="1"/>
    </xf>
    <xf numFmtId="43" fontId="14" fillId="0" borderId="0" xfId="3" applyFont="1" applyBorder="1" applyAlignment="1">
      <alignment vertical="center" wrapText="1"/>
    </xf>
    <xf numFmtId="43" fontId="5" fillId="0" borderId="0" xfId="3" applyFont="1" applyBorder="1" applyAlignment="1">
      <alignment vertical="center" wrapText="1"/>
    </xf>
    <xf numFmtId="0" fontId="2" fillId="3" borderId="0" xfId="0" applyFont="1" applyFill="1" applyBorder="1" applyAlignment="1">
      <alignment horizontal="left" vertical="center" wrapText="1"/>
    </xf>
    <xf numFmtId="0" fontId="5" fillId="0" borderId="17" xfId="0" applyFont="1" applyBorder="1" applyAlignment="1">
      <alignment vertical="center" wrapText="1"/>
    </xf>
    <xf numFmtId="0" fontId="2" fillId="3" borderId="15" xfId="0" applyFont="1" applyFill="1" applyBorder="1" applyAlignment="1">
      <alignment horizontal="left" vertical="center" wrapText="1"/>
    </xf>
    <xf numFmtId="0" fontId="5" fillId="0" borderId="11" xfId="0" applyFont="1" applyBorder="1" applyAlignment="1">
      <alignment vertical="center" wrapText="1"/>
    </xf>
    <xf numFmtId="0" fontId="2" fillId="2" borderId="13" xfId="0" applyFont="1" applyFill="1" applyBorder="1" applyAlignment="1">
      <alignment horizontal="left" vertical="center" wrapText="1"/>
    </xf>
    <xf numFmtId="164" fontId="2" fillId="2" borderId="13" xfId="0" applyNumberFormat="1" applyFont="1" applyFill="1" applyBorder="1" applyAlignment="1">
      <alignment horizontal="center" vertical="center" wrapText="1"/>
    </xf>
    <xf numFmtId="164" fontId="2" fillId="13" borderId="13" xfId="0" applyNumberFormat="1" applyFont="1" applyFill="1" applyBorder="1" applyAlignment="1">
      <alignment horizontal="center" vertical="center" wrapText="1"/>
    </xf>
    <xf numFmtId="164" fontId="2" fillId="17" borderId="13" xfId="0" applyNumberFormat="1" applyFont="1" applyFill="1" applyBorder="1" applyAlignment="1">
      <alignment horizontal="center" vertical="center" wrapText="1"/>
    </xf>
    <xf numFmtId="164" fontId="2" fillId="2" borderId="65" xfId="0" applyNumberFormat="1" applyFont="1" applyFill="1" applyBorder="1" applyAlignment="1">
      <alignment vertical="center" wrapText="1"/>
    </xf>
    <xf numFmtId="43" fontId="2" fillId="5" borderId="14" xfId="3" applyFont="1" applyFill="1" applyBorder="1" applyAlignment="1">
      <alignment vertical="center" wrapText="1"/>
    </xf>
    <xf numFmtId="164" fontId="5" fillId="0" borderId="33" xfId="0" applyNumberFormat="1" applyFont="1" applyBorder="1" applyAlignment="1" applyProtection="1">
      <alignment vertical="center" wrapText="1"/>
      <protection locked="0"/>
    </xf>
    <xf numFmtId="164" fontId="5" fillId="13" borderId="3" xfId="0" applyNumberFormat="1" applyFont="1" applyFill="1" applyBorder="1" applyAlignment="1" applyProtection="1">
      <alignment vertical="center" wrapText="1"/>
      <protection locked="0"/>
    </xf>
    <xf numFmtId="164" fontId="2" fillId="2" borderId="37" xfId="0" applyNumberFormat="1" applyFont="1" applyFill="1" applyBorder="1" applyAlignment="1">
      <alignment vertical="center" wrapText="1"/>
    </xf>
    <xf numFmtId="43" fontId="5" fillId="5" borderId="32" xfId="3" applyFont="1" applyFill="1" applyBorder="1" applyAlignment="1">
      <alignment vertical="center" wrapText="1"/>
    </xf>
    <xf numFmtId="164" fontId="5" fillId="0" borderId="3" xfId="0" applyNumberFormat="1" applyFont="1" applyBorder="1" applyAlignment="1" applyProtection="1">
      <alignment vertical="center" wrapText="1"/>
      <protection locked="0"/>
    </xf>
    <xf numFmtId="164" fontId="2" fillId="2" borderId="4" xfId="0" applyNumberFormat="1" applyFont="1" applyFill="1" applyBorder="1" applyAlignment="1">
      <alignment vertical="center" wrapText="1"/>
    </xf>
    <xf numFmtId="43" fontId="5" fillId="5" borderId="9" xfId="3" applyFont="1" applyFill="1" applyBorder="1" applyAlignment="1">
      <alignment vertical="center" wrapText="1"/>
    </xf>
    <xf numFmtId="164" fontId="1" fillId="17" borderId="3" xfId="0" applyNumberFormat="1" applyFont="1" applyFill="1" applyBorder="1" applyAlignment="1" applyProtection="1">
      <alignment vertical="center" wrapText="1"/>
      <protection locked="0"/>
    </xf>
    <xf numFmtId="164" fontId="2" fillId="4" borderId="3" xfId="1" applyNumberFormat="1" applyFont="1" applyFill="1" applyBorder="1" applyAlignment="1">
      <alignment vertical="center" wrapText="1"/>
    </xf>
    <xf numFmtId="164" fontId="2" fillId="13" borderId="3" xfId="1" applyNumberFormat="1" applyFont="1" applyFill="1" applyBorder="1" applyAlignment="1">
      <alignment vertical="center" wrapText="1"/>
    </xf>
    <xf numFmtId="164" fontId="2" fillId="17" borderId="3" xfId="1" applyNumberFormat="1" applyFont="1" applyFill="1" applyBorder="1" applyAlignment="1">
      <alignment vertical="center" wrapText="1"/>
    </xf>
    <xf numFmtId="43" fontId="2" fillId="5" borderId="9" xfId="3" applyFont="1" applyFill="1" applyBorder="1" applyAlignment="1">
      <alignment vertical="center" wrapText="1"/>
    </xf>
    <xf numFmtId="0" fontId="5" fillId="3" borderId="11" xfId="0" applyFont="1" applyFill="1" applyBorder="1" applyAlignment="1">
      <alignment vertical="center" wrapText="1"/>
    </xf>
    <xf numFmtId="164" fontId="2" fillId="3" borderId="4" xfId="1" applyFont="1" applyFill="1" applyBorder="1" applyAlignment="1" applyProtection="1">
      <alignment vertical="center" wrapText="1"/>
    </xf>
    <xf numFmtId="164" fontId="2" fillId="3" borderId="1" xfId="1" applyNumberFormat="1" applyFont="1" applyFill="1" applyBorder="1" applyAlignment="1">
      <alignment vertical="center" wrapText="1"/>
    </xf>
    <xf numFmtId="43" fontId="5" fillId="3" borderId="0" xfId="3" applyFont="1" applyFill="1" applyBorder="1" applyAlignment="1">
      <alignment vertical="center" wrapText="1"/>
    </xf>
    <xf numFmtId="164" fontId="5" fillId="13" borderId="33" xfId="0" applyNumberFormat="1" applyFont="1" applyFill="1" applyBorder="1" applyAlignment="1" applyProtection="1">
      <alignment vertical="center" wrapText="1"/>
      <protection locked="0"/>
    </xf>
    <xf numFmtId="166" fontId="5" fillId="0" borderId="0" xfId="0" applyNumberFormat="1" applyFont="1" applyBorder="1" applyAlignment="1">
      <alignment vertical="center" wrapText="1"/>
    </xf>
    <xf numFmtId="164" fontId="2" fillId="4" borderId="4" xfId="1" applyNumberFormat="1" applyFont="1" applyFill="1" applyBorder="1" applyAlignment="1">
      <alignment vertical="center" wrapText="1"/>
    </xf>
    <xf numFmtId="2" fontId="5" fillId="0" borderId="0" xfId="0" applyNumberFormat="1" applyFont="1" applyBorder="1" applyAlignment="1">
      <alignment vertical="center" wrapText="1"/>
    </xf>
    <xf numFmtId="164" fontId="2" fillId="4" borderId="5" xfId="1" applyFont="1" applyFill="1" applyBorder="1" applyAlignment="1" applyProtection="1">
      <alignment vertical="center" wrapText="1"/>
    </xf>
    <xf numFmtId="164" fontId="2" fillId="4" borderId="5" xfId="1" applyNumberFormat="1" applyFont="1" applyFill="1" applyBorder="1" applyAlignment="1">
      <alignment vertical="center" wrapText="1"/>
    </xf>
    <xf numFmtId="164" fontId="2" fillId="13" borderId="5" xfId="1" applyNumberFormat="1" applyFont="1" applyFill="1" applyBorder="1" applyAlignment="1">
      <alignment vertical="center" wrapText="1"/>
    </xf>
    <xf numFmtId="164" fontId="2" fillId="17" borderId="5" xfId="1" applyNumberFormat="1" applyFont="1" applyFill="1" applyBorder="1" applyAlignment="1">
      <alignment vertical="center" wrapText="1"/>
    </xf>
    <xf numFmtId="164" fontId="2" fillId="2" borderId="66" xfId="0" applyNumberFormat="1" applyFont="1" applyFill="1" applyBorder="1" applyAlignment="1">
      <alignment vertical="center" wrapText="1"/>
    </xf>
    <xf numFmtId="43" fontId="2" fillId="5" borderId="28" xfId="3" applyFont="1" applyFill="1" applyBorder="1" applyAlignment="1">
      <alignment vertical="center" wrapText="1"/>
    </xf>
    <xf numFmtId="166" fontId="2" fillId="18" borderId="6" xfId="0" applyNumberFormat="1" applyFont="1" applyFill="1" applyBorder="1" applyAlignment="1">
      <alignment vertical="center" wrapText="1"/>
    </xf>
    <xf numFmtId="164" fontId="2" fillId="3" borderId="42" xfId="1" applyFont="1" applyFill="1" applyBorder="1" applyAlignment="1" applyProtection="1">
      <alignment vertical="center" wrapText="1"/>
    </xf>
    <xf numFmtId="164" fontId="2" fillId="3" borderId="42" xfId="1" applyNumberFormat="1" applyFont="1" applyFill="1" applyBorder="1" applyAlignment="1">
      <alignment vertical="center" wrapText="1"/>
    </xf>
    <xf numFmtId="165" fontId="1" fillId="0" borderId="33" xfId="0" applyNumberFormat="1" applyFont="1" applyBorder="1" applyAlignment="1" applyProtection="1">
      <alignment vertical="center" wrapText="1"/>
      <protection locked="0"/>
    </xf>
    <xf numFmtId="165" fontId="1" fillId="13" borderId="33" xfId="0" applyNumberFormat="1" applyFont="1" applyFill="1" applyBorder="1" applyAlignment="1" applyProtection="1">
      <alignment vertical="center" wrapText="1"/>
      <protection locked="0"/>
    </xf>
    <xf numFmtId="165" fontId="1" fillId="0" borderId="3" xfId="0" applyNumberFormat="1" applyFont="1" applyBorder="1" applyAlignment="1" applyProtection="1">
      <alignment vertical="center" wrapText="1"/>
      <protection locked="0"/>
    </xf>
    <xf numFmtId="165" fontId="1" fillId="13" borderId="3" xfId="0" applyNumberFormat="1" applyFont="1" applyFill="1" applyBorder="1" applyAlignment="1" applyProtection="1">
      <alignment vertical="center" wrapText="1"/>
      <protection locked="0"/>
    </xf>
    <xf numFmtId="165" fontId="1" fillId="17" borderId="3" xfId="0" applyNumberFormat="1" applyFont="1" applyFill="1" applyBorder="1" applyAlignment="1" applyProtection="1">
      <alignment vertical="center" wrapText="1"/>
      <protection locked="0"/>
    </xf>
    <xf numFmtId="164" fontId="5" fillId="17" borderId="3" xfId="0" applyNumberFormat="1" applyFont="1" applyFill="1" applyBorder="1" applyAlignment="1" applyProtection="1">
      <alignment vertical="center" wrapText="1"/>
      <protection locked="0"/>
    </xf>
    <xf numFmtId="0" fontId="5" fillId="0" borderId="19" xfId="0" applyFont="1" applyBorder="1" applyAlignment="1">
      <alignment vertical="center" wrapText="1"/>
    </xf>
    <xf numFmtId="164" fontId="2" fillId="4" borderId="13" xfId="1" applyFont="1" applyFill="1" applyBorder="1" applyAlignment="1" applyProtection="1">
      <alignment vertical="center" wrapText="1"/>
    </xf>
    <xf numFmtId="164" fontId="2" fillId="4" borderId="13" xfId="1" applyNumberFormat="1" applyFont="1" applyFill="1" applyBorder="1" applyAlignment="1">
      <alignment vertical="center" wrapText="1"/>
    </xf>
    <xf numFmtId="164" fontId="2" fillId="13" borderId="13" xfId="1" applyNumberFormat="1" applyFont="1" applyFill="1" applyBorder="1" applyAlignment="1">
      <alignment vertical="center" wrapText="1"/>
    </xf>
    <xf numFmtId="164" fontId="2" fillId="17" borderId="13" xfId="1" applyNumberFormat="1" applyFont="1" applyFill="1" applyBorder="1" applyAlignment="1">
      <alignment vertical="center" wrapText="1"/>
    </xf>
    <xf numFmtId="164" fontId="2" fillId="3" borderId="66" xfId="1" applyFont="1" applyFill="1" applyBorder="1" applyAlignment="1" applyProtection="1">
      <alignment vertical="center" wrapText="1"/>
    </xf>
    <xf numFmtId="164" fontId="2" fillId="3" borderId="68" xfId="1" applyNumberFormat="1" applyFont="1" applyFill="1" applyBorder="1" applyAlignment="1">
      <alignment vertical="center" wrapText="1"/>
    </xf>
    <xf numFmtId="43" fontId="5" fillId="0" borderId="0" xfId="3" applyFont="1" applyFill="1" applyBorder="1" applyAlignment="1">
      <alignment vertical="center" wrapText="1"/>
    </xf>
    <xf numFmtId="0" fontId="2" fillId="2" borderId="24" xfId="0" applyFont="1" applyFill="1" applyBorder="1" applyAlignment="1">
      <alignment horizontal="center" vertical="center" wrapText="1"/>
    </xf>
    <xf numFmtId="164" fontId="5" fillId="2" borderId="43" xfId="0" applyNumberFormat="1" applyFont="1" applyFill="1" applyBorder="1" applyAlignment="1">
      <alignment vertical="center" wrapText="1"/>
    </xf>
    <xf numFmtId="164" fontId="5" fillId="13" borderId="43" xfId="0" applyNumberFormat="1" applyFont="1" applyFill="1" applyBorder="1" applyAlignment="1">
      <alignment vertical="center" wrapText="1"/>
    </xf>
    <xf numFmtId="164" fontId="5" fillId="17" borderId="43" xfId="0" applyNumberFormat="1" applyFont="1" applyFill="1" applyBorder="1" applyAlignment="1">
      <alignment vertical="center" wrapText="1"/>
    </xf>
    <xf numFmtId="164" fontId="5" fillId="5" borderId="47" xfId="0" applyNumberFormat="1" applyFont="1" applyFill="1" applyBorder="1" applyAlignment="1">
      <alignment vertical="center" wrapText="1"/>
    </xf>
    <xf numFmtId="43" fontId="10" fillId="0" borderId="0" xfId="3" applyFont="1" applyFill="1" applyBorder="1" applyAlignment="1">
      <alignment vertical="center" wrapText="1"/>
    </xf>
    <xf numFmtId="166" fontId="10" fillId="0" borderId="0" xfId="0" applyNumberFormat="1" applyFont="1" applyFill="1" applyBorder="1" applyAlignment="1">
      <alignment vertical="center" wrapText="1"/>
    </xf>
    <xf numFmtId="164" fontId="5" fillId="5" borderId="64" xfId="0" applyNumberFormat="1" applyFont="1" applyFill="1" applyBorder="1" applyAlignment="1">
      <alignment vertical="center" wrapText="1"/>
    </xf>
    <xf numFmtId="166" fontId="5" fillId="0" borderId="0" xfId="0" applyNumberFormat="1" applyFont="1" applyFill="1" applyBorder="1" applyAlignment="1">
      <alignment vertical="center" wrapText="1"/>
    </xf>
    <xf numFmtId="164" fontId="24" fillId="2" borderId="2" xfId="1" applyNumberFormat="1" applyFont="1" applyFill="1" applyBorder="1" applyAlignment="1">
      <alignment vertical="center" wrapText="1"/>
    </xf>
    <xf numFmtId="164" fontId="24" fillId="13" borderId="2" xfId="0" applyNumberFormat="1" applyFont="1" applyFill="1" applyBorder="1" applyAlignment="1">
      <alignment vertical="center" wrapText="1"/>
    </xf>
    <xf numFmtId="164" fontId="24" fillId="17" borderId="3" xfId="1" applyNumberFormat="1" applyFont="1" applyFill="1" applyBorder="1" applyAlignment="1">
      <alignment vertical="center" wrapText="1"/>
    </xf>
    <xf numFmtId="164" fontId="24" fillId="2" borderId="4" xfId="0" applyNumberFormat="1" applyFont="1" applyFill="1" applyBorder="1" applyAlignment="1">
      <alignment vertical="center" wrapText="1"/>
    </xf>
    <xf numFmtId="43" fontId="24" fillId="5" borderId="44" xfId="3" applyFont="1" applyFill="1" applyBorder="1" applyAlignment="1">
      <alignment vertical="center" wrapText="1"/>
    </xf>
    <xf numFmtId="164" fontId="25" fillId="2" borderId="2" xfId="0" applyNumberFormat="1" applyFont="1" applyFill="1" applyBorder="1" applyAlignment="1">
      <alignment vertical="center" wrapText="1"/>
    </xf>
    <xf numFmtId="43" fontId="25" fillId="13" borderId="2" xfId="3" applyFont="1" applyFill="1" applyBorder="1" applyAlignment="1">
      <alignment vertical="center" wrapText="1"/>
    </xf>
    <xf numFmtId="164" fontId="25" fillId="17" borderId="3" xfId="0" applyNumberFormat="1" applyFont="1" applyFill="1" applyBorder="1" applyAlignment="1">
      <alignment vertical="center" wrapText="1"/>
    </xf>
    <xf numFmtId="164" fontId="25" fillId="2" borderId="4" xfId="0" applyNumberFormat="1" applyFont="1" applyFill="1" applyBorder="1" applyAlignment="1">
      <alignment vertical="center" wrapText="1"/>
    </xf>
    <xf numFmtId="43" fontId="25" fillId="5" borderId="44" xfId="3" applyFont="1" applyFill="1" applyBorder="1" applyAlignment="1">
      <alignment vertical="center" wrapText="1"/>
    </xf>
    <xf numFmtId="43" fontId="25" fillId="0" borderId="0" xfId="3" applyFont="1" applyFill="1" applyBorder="1" applyAlignment="1">
      <alignment vertical="center" wrapText="1"/>
    </xf>
    <xf numFmtId="0" fontId="2" fillId="2" borderId="49" xfId="0" applyFont="1" applyFill="1" applyBorder="1" applyAlignment="1">
      <alignment horizontal="center" vertical="center" wrapText="1"/>
    </xf>
    <xf numFmtId="164" fontId="2" fillId="2" borderId="46" xfId="0" applyNumberFormat="1" applyFont="1" applyFill="1" applyBorder="1" applyAlignment="1">
      <alignment vertical="center" wrapText="1"/>
    </xf>
    <xf numFmtId="164" fontId="2" fillId="13" borderId="46" xfId="0" applyNumberFormat="1" applyFont="1" applyFill="1" applyBorder="1" applyAlignment="1">
      <alignment vertical="center" wrapText="1"/>
    </xf>
    <xf numFmtId="164" fontId="2" fillId="17" borderId="13" xfId="0" applyNumberFormat="1" applyFont="1" applyFill="1" applyBorder="1" applyAlignment="1">
      <alignment vertical="center" wrapText="1"/>
    </xf>
    <xf numFmtId="43" fontId="2" fillId="5" borderId="49" xfId="3" applyFont="1" applyFill="1" applyBorder="1" applyAlignment="1">
      <alignment vertical="center" wrapText="1"/>
    </xf>
    <xf numFmtId="43" fontId="2" fillId="0" borderId="0" xfId="3" applyFont="1" applyFill="1" applyBorder="1" applyAlignment="1">
      <alignment vertical="center" wrapText="1"/>
    </xf>
    <xf numFmtId="43" fontId="27" fillId="0" borderId="0" xfId="0" applyNumberFormat="1" applyFont="1"/>
    <xf numFmtId="9" fontId="21" fillId="2" borderId="14" xfId="2" applyFont="1" applyFill="1" applyBorder="1" applyAlignment="1">
      <alignment horizontal="center" vertical="center" wrapText="1"/>
    </xf>
    <xf numFmtId="166" fontId="27" fillId="0" borderId="0" xfId="0" applyNumberFormat="1" applyFont="1"/>
    <xf numFmtId="0" fontId="17" fillId="0" borderId="0" xfId="0" applyFont="1" applyAlignment="1">
      <alignment horizontal="left" vertical="top" wrapText="1"/>
    </xf>
    <xf numFmtId="0" fontId="21" fillId="16" borderId="24"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21" fillId="16" borderId="50"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50" xfId="0" applyFont="1" applyFill="1" applyBorder="1" applyAlignment="1">
      <alignment horizontal="center" vertical="center" wrapText="1"/>
    </xf>
    <xf numFmtId="0" fontId="24" fillId="10" borderId="3" xfId="0" applyFont="1" applyFill="1" applyBorder="1" applyAlignment="1" applyProtection="1">
      <alignment horizontal="left" vertical="center" wrapText="1"/>
      <protection locked="0"/>
    </xf>
    <xf numFmtId="164" fontId="24" fillId="10" borderId="3" xfId="1" applyFont="1" applyFill="1" applyBorder="1" applyAlignment="1" applyProtection="1">
      <alignment horizontal="left" vertical="center" wrapText="1"/>
      <protection locked="0"/>
    </xf>
    <xf numFmtId="49" fontId="2" fillId="11" borderId="3" xfId="0" applyNumberFormat="1" applyFont="1" applyFill="1" applyBorder="1" applyAlignment="1" applyProtection="1">
      <alignment horizontal="left" vertical="center" wrapText="1"/>
      <protection locked="0"/>
    </xf>
    <xf numFmtId="164" fontId="2" fillId="11" borderId="3" xfId="1" applyFont="1" applyFill="1" applyBorder="1" applyAlignment="1" applyProtection="1">
      <alignment horizontal="left" vertical="center" wrapText="1"/>
      <protection locked="0"/>
    </xf>
    <xf numFmtId="0" fontId="2" fillId="11" borderId="3" xfId="0" applyNumberFormat="1" applyFont="1" applyFill="1" applyBorder="1" applyAlignment="1" applyProtection="1">
      <alignment horizontal="left" vertical="center" wrapText="1"/>
      <protection locked="0"/>
    </xf>
    <xf numFmtId="0" fontId="17" fillId="0" borderId="0" xfId="0" applyFont="1" applyBorder="1" applyAlignment="1">
      <alignment horizontal="left" vertical="center" wrapText="1"/>
    </xf>
    <xf numFmtId="0" fontId="22" fillId="0" borderId="0" xfId="0" applyFont="1" applyFill="1" applyBorder="1" applyAlignment="1">
      <alignment horizontal="left" vertical="center" wrapText="1"/>
    </xf>
    <xf numFmtId="49" fontId="24" fillId="10" borderId="3" xfId="0" applyNumberFormat="1" applyFont="1" applyFill="1" applyBorder="1" applyAlignment="1" applyProtection="1">
      <alignment horizontal="left" vertical="center" wrapText="1"/>
      <protection locked="0"/>
    </xf>
    <xf numFmtId="0" fontId="2" fillId="5" borderId="47"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1" xfId="0" applyFont="1" applyFill="1" applyBorder="1" applyAlignment="1">
      <alignment horizontal="center" vertical="center" wrapText="1"/>
    </xf>
    <xf numFmtId="0" fontId="21" fillId="0" borderId="42" xfId="0" applyFont="1" applyFill="1" applyBorder="1" applyAlignment="1">
      <alignment horizontal="left" vertical="center" wrapText="1"/>
    </xf>
    <xf numFmtId="164" fontId="2" fillId="3" borderId="1" xfId="0" applyNumberFormat="1" applyFont="1" applyFill="1" applyBorder="1" applyAlignment="1">
      <alignment horizontal="center" vertical="center" wrapText="1"/>
    </xf>
    <xf numFmtId="164" fontId="2" fillId="3" borderId="30" xfId="0" applyNumberFormat="1" applyFont="1" applyFill="1" applyBorder="1" applyAlignment="1">
      <alignment horizontal="center" vertical="center" wrapText="1"/>
    </xf>
    <xf numFmtId="164" fontId="2" fillId="3" borderId="42" xfId="0" applyNumberFormat="1" applyFont="1" applyFill="1" applyBorder="1" applyAlignment="1">
      <alignment horizontal="center" vertical="center" wrapText="1"/>
    </xf>
    <xf numFmtId="164" fontId="2" fillId="3" borderId="38" xfId="0" applyNumberFormat="1" applyFont="1" applyFill="1" applyBorder="1" applyAlignment="1">
      <alignment horizontal="center" vertical="center" wrapText="1"/>
    </xf>
    <xf numFmtId="164" fontId="2" fillId="3" borderId="68" xfId="0" applyNumberFormat="1" applyFont="1" applyFill="1" applyBorder="1" applyAlignment="1">
      <alignment horizontal="center" vertical="center" wrapText="1"/>
    </xf>
    <xf numFmtId="164" fontId="2" fillId="3" borderId="69"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30" fillId="0" borderId="0" xfId="0" applyFont="1" applyAlignment="1">
      <alignment vertical="top" wrapText="1" readingOrder="1"/>
    </xf>
    <xf numFmtId="0" fontId="27" fillId="0" borderId="0" xfId="0" applyFont="1"/>
    <xf numFmtId="0" fontId="29" fillId="0" borderId="53" xfId="0" applyFont="1" applyBorder="1" applyAlignment="1">
      <alignment horizontal="center" vertical="top" wrapText="1" readingOrder="1"/>
    </xf>
    <xf numFmtId="0" fontId="27" fillId="0" borderId="54" xfId="0" applyFont="1" applyBorder="1" applyAlignment="1">
      <alignment vertical="top" wrapText="1"/>
    </xf>
    <xf numFmtId="0" fontId="27" fillId="0" borderId="55" xfId="0" applyFont="1" applyBorder="1" applyAlignment="1">
      <alignment vertical="top" wrapText="1"/>
    </xf>
    <xf numFmtId="0" fontId="28" fillId="0" borderId="0" xfId="0" applyFont="1" applyAlignment="1">
      <alignment horizontal="center" vertical="center" wrapText="1" readingOrder="1"/>
    </xf>
    <xf numFmtId="0" fontId="29" fillId="0" borderId="0" xfId="0" applyFont="1" applyAlignment="1">
      <alignment vertical="top" wrapText="1" readingOrder="1"/>
    </xf>
    <xf numFmtId="0" fontId="30" fillId="0" borderId="0" xfId="0" applyFont="1" applyAlignment="1">
      <alignment horizontal="center" vertical="top" wrapText="1" readingOrder="1"/>
    </xf>
    <xf numFmtId="167" fontId="30" fillId="0" borderId="56" xfId="0" applyNumberFormat="1" applyFont="1" applyBorder="1" applyAlignment="1">
      <alignment vertical="top" wrapText="1" readingOrder="1"/>
    </xf>
    <xf numFmtId="0" fontId="27" fillId="0" borderId="57" xfId="0" applyFont="1" applyBorder="1" applyAlignment="1">
      <alignment vertical="top" wrapText="1"/>
    </xf>
    <xf numFmtId="167" fontId="30" fillId="0" borderId="0" xfId="0" applyNumberFormat="1" applyFont="1" applyAlignment="1">
      <alignment vertical="top" wrapText="1" readingOrder="1"/>
    </xf>
    <xf numFmtId="0" fontId="30" fillId="0" borderId="56" xfId="0" applyFont="1" applyBorder="1" applyAlignment="1">
      <alignment vertical="top" wrapText="1" readingOrder="1"/>
    </xf>
    <xf numFmtId="0" fontId="30" fillId="0" borderId="0" xfId="0" applyFont="1" applyFill="1" applyAlignment="1">
      <alignment vertical="top" wrapText="1" readingOrder="1"/>
    </xf>
    <xf numFmtId="0" fontId="27" fillId="0" borderId="0" xfId="0" applyFont="1" applyFill="1"/>
    <xf numFmtId="167" fontId="30" fillId="0" borderId="53" xfId="0" applyNumberFormat="1" applyFont="1" applyBorder="1" applyAlignment="1">
      <alignment vertical="top" wrapText="1" readingOrder="1"/>
    </xf>
    <xf numFmtId="167" fontId="30" fillId="0" borderId="58" xfId="0" applyNumberFormat="1" applyFont="1" applyBorder="1" applyAlignment="1">
      <alignment vertical="top" wrapText="1" readingOrder="1"/>
    </xf>
    <xf numFmtId="0" fontId="27" fillId="0" borderId="59" xfId="0" applyFont="1" applyBorder="1" applyAlignment="1">
      <alignment vertical="top" wrapText="1"/>
    </xf>
    <xf numFmtId="0" fontId="27" fillId="0" borderId="60" xfId="0" applyFont="1" applyBorder="1" applyAlignment="1">
      <alignment vertical="top" wrapText="1"/>
    </xf>
    <xf numFmtId="167" fontId="30" fillId="0" borderId="59" xfId="0" applyNumberFormat="1" applyFont="1" applyBorder="1" applyAlignment="1">
      <alignment vertical="top" wrapText="1" readingOrder="1"/>
    </xf>
    <xf numFmtId="167" fontId="30" fillId="0" borderId="61" xfId="0" applyNumberFormat="1" applyFont="1" applyBorder="1" applyAlignment="1">
      <alignment vertical="top" wrapText="1" readingOrder="1"/>
    </xf>
    <xf numFmtId="0" fontId="27" fillId="0" borderId="62" xfId="0" applyFont="1" applyBorder="1" applyAlignment="1">
      <alignment vertical="top" wrapText="1"/>
    </xf>
    <xf numFmtId="0" fontId="27" fillId="0" borderId="63" xfId="0" applyFont="1" applyBorder="1" applyAlignment="1">
      <alignment vertical="top" wrapText="1"/>
    </xf>
    <xf numFmtId="167" fontId="30" fillId="0" borderId="62" xfId="0" applyNumberFormat="1" applyFont="1" applyBorder="1" applyAlignment="1">
      <alignment vertical="top" wrapText="1" readingOrder="1"/>
    </xf>
    <xf numFmtId="167" fontId="29" fillId="10" borderId="58" xfId="0" applyNumberFormat="1" applyFont="1" applyFill="1" applyBorder="1" applyAlignment="1">
      <alignment vertical="top" wrapText="1" readingOrder="1"/>
    </xf>
    <xf numFmtId="0" fontId="32" fillId="10" borderId="59" xfId="0" applyFont="1" applyFill="1" applyBorder="1" applyAlignment="1">
      <alignment vertical="top" wrapText="1"/>
    </xf>
    <xf numFmtId="0" fontId="32" fillId="10" borderId="60" xfId="0" applyFont="1" applyFill="1" applyBorder="1" applyAlignment="1">
      <alignment vertical="top" wrapText="1"/>
    </xf>
    <xf numFmtId="0" fontId="30" fillId="0" borderId="58" xfId="0" applyFont="1" applyBorder="1" applyAlignment="1">
      <alignment vertical="top" wrapText="1" readingOrder="1"/>
    </xf>
    <xf numFmtId="0" fontId="30" fillId="0" borderId="59" xfId="0" applyFont="1" applyBorder="1" applyAlignment="1">
      <alignment vertical="top" wrapText="1" readingOrder="1"/>
    </xf>
    <xf numFmtId="0" fontId="30" fillId="0" borderId="59" xfId="0" applyFont="1" applyBorder="1" applyAlignment="1">
      <alignment horizontal="left" vertical="top" wrapText="1" readingOrder="1"/>
    </xf>
    <xf numFmtId="0" fontId="30" fillId="0" borderId="59" xfId="0" applyFont="1" applyBorder="1" applyAlignment="1">
      <alignment horizontal="center" vertical="top" wrapText="1" readingOrder="1"/>
    </xf>
    <xf numFmtId="0" fontId="31" fillId="0" borderId="0" xfId="0" applyFont="1" applyAlignment="1">
      <alignment vertical="top" wrapText="1" readingOrder="1"/>
    </xf>
    <xf numFmtId="164" fontId="3" fillId="2" borderId="4" xfId="0" applyNumberFormat="1" applyFont="1" applyFill="1" applyBorder="1" applyAlignment="1">
      <alignment horizontal="center"/>
    </xf>
    <xf numFmtId="164" fontId="3" fillId="2" borderId="30" xfId="0" applyNumberFormat="1" applyFont="1" applyFill="1" applyBorder="1" applyAlignment="1">
      <alignment horizontal="center"/>
    </xf>
    <xf numFmtId="0" fontId="3" fillId="2" borderId="34" xfId="0" applyFont="1" applyFill="1" applyBorder="1" applyAlignment="1">
      <alignment horizontal="left"/>
    </xf>
    <xf numFmtId="0" fontId="3" fillId="2" borderId="35" xfId="0" applyFont="1" applyFill="1" applyBorder="1" applyAlignment="1">
      <alignment horizontal="left"/>
    </xf>
    <xf numFmtId="0" fontId="3" fillId="2" borderId="36" xfId="0" applyFont="1" applyFill="1" applyBorder="1" applyAlignment="1">
      <alignment horizontal="left"/>
    </xf>
    <xf numFmtId="0" fontId="0" fillId="2" borderId="39" xfId="0" applyNumberFormat="1" applyFill="1" applyBorder="1" applyAlignment="1">
      <alignment horizontal="center" wrapText="1"/>
    </xf>
    <xf numFmtId="0" fontId="0" fillId="2" borderId="40" xfId="0" applyNumberFormat="1" applyFill="1" applyBorder="1" applyAlignment="1">
      <alignment horizontal="center" wrapText="1"/>
    </xf>
    <xf numFmtId="0" fontId="0" fillId="2" borderId="41" xfId="0" applyNumberFormat="1" applyFill="1" applyBorder="1" applyAlignment="1">
      <alignment horizontal="center" wrapText="1"/>
    </xf>
    <xf numFmtId="164" fontId="3" fillId="2" borderId="37" xfId="0" applyNumberFormat="1" applyFont="1" applyFill="1" applyBorder="1" applyAlignment="1">
      <alignment horizontal="center"/>
    </xf>
    <xf numFmtId="164" fontId="3" fillId="2" borderId="38" xfId="0" applyNumberFormat="1" applyFont="1" applyFill="1" applyBorder="1" applyAlignment="1">
      <alignment horizont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xf numFmtId="49" fontId="0" fillId="2" borderId="39" xfId="0" applyNumberFormat="1" applyFill="1" applyBorder="1" applyAlignment="1">
      <alignment horizontal="center" wrapText="1"/>
    </xf>
    <xf numFmtId="49" fontId="0" fillId="2" borderId="40" xfId="0" applyNumberFormat="1" applyFill="1" applyBorder="1" applyAlignment="1">
      <alignment horizontal="center" wrapText="1"/>
    </xf>
    <xf numFmtId="49" fontId="0" fillId="2" borderId="41" xfId="0" applyNumberFormat="1" applyFill="1" applyBorder="1" applyAlignment="1">
      <alignment horizont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xf numFmtId="0" fontId="32" fillId="19" borderId="72" xfId="0" applyFont="1" applyFill="1" applyBorder="1"/>
    <xf numFmtId="4" fontId="32" fillId="19" borderId="73" xfId="0" applyNumberFormat="1" applyFont="1" applyFill="1" applyBorder="1"/>
    <xf numFmtId="167" fontId="30" fillId="19" borderId="53" xfId="0" applyNumberFormat="1" applyFont="1" applyFill="1" applyBorder="1" applyAlignment="1">
      <alignment vertical="top" wrapText="1" readingOrder="1"/>
    </xf>
    <xf numFmtId="0" fontId="27" fillId="19" borderId="54" xfId="0" applyFont="1" applyFill="1" applyBorder="1" applyAlignment="1">
      <alignment vertical="top" wrapText="1"/>
    </xf>
    <xf numFmtId="167" fontId="30" fillId="19" borderId="61" xfId="0" applyNumberFormat="1" applyFont="1" applyFill="1" applyBorder="1" applyAlignment="1">
      <alignment vertical="top" wrapText="1" readingOrder="1"/>
    </xf>
    <xf numFmtId="0" fontId="27" fillId="19" borderId="62" xfId="0" applyFont="1" applyFill="1" applyBorder="1" applyAlignment="1">
      <alignment vertical="top" wrapText="1"/>
    </xf>
    <xf numFmtId="0" fontId="27" fillId="19" borderId="63" xfId="0" applyFont="1" applyFill="1" applyBorder="1" applyAlignment="1">
      <alignment vertical="top" wrapText="1"/>
    </xf>
    <xf numFmtId="164" fontId="33" fillId="5" borderId="64" xfId="0" applyNumberFormat="1" applyFont="1" applyFill="1" applyBorder="1" applyAlignment="1">
      <alignment vertical="center" wrapText="1"/>
    </xf>
  </cellXfs>
  <cellStyles count="4">
    <cellStyle name="Milliers" xfId="3" builtinId="3"/>
    <cellStyle name="Monétaire" xfId="1" builtinId="4"/>
    <cellStyle name="Normal" xfId="0" builtinId="0"/>
    <cellStyle name="Pourcentag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675985</xdr:colOff>
      <xdr:row>2</xdr:row>
      <xdr:rowOff>787400</xdr:rowOff>
    </xdr:to>
    <xdr:pic>
      <xdr:nvPicPr>
        <xdr:cNvPr id="2" name="Picture 1">
          <a:extLst>
            <a:ext uri="{FF2B5EF4-FFF2-40B4-BE49-F238E27FC236}">
              <a16:creationId xmlns:a16="http://schemas.microsoft.com/office/drawing/2014/main" id="{5769AAB2-FFAC-4D58-9032-08FB51B5C2BB}"/>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TA%202020%20SEC%20TEC/PRODOC%20SECTEC%202021/Extension%20SECTEC%202021%20Primature/Budget%20PRODOC%20SECTEC%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TA%202020%20SEC%20TEC/Draft%20PTA%202021%20version%20BB%2030%20sept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G catég table final"/>
      <sheetName val="1) Tableau 1 - Par produits "/>
      <sheetName val="Feuil1"/>
      <sheetName val="2) Tableau 2 - Par catégories"/>
    </sheetNames>
    <sheetDataSet>
      <sheetData sheetId="0"/>
      <sheetData sheetId="1">
        <row r="16">
          <cell r="C16" t="str">
            <v xml:space="preserve">Bureaux SecTec opérationnels.  </v>
          </cell>
        </row>
        <row r="17">
          <cell r="C17" t="str">
            <v xml:space="preserve">Formation du staff du SecTec </v>
          </cell>
        </row>
        <row r="18">
          <cell r="C18" t="str">
            <v xml:space="preserve">Phase pilote échanges PBSO NY et PBF Madagascar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PTA 2021"/>
      <sheetName val="Fiche d'activité 2021"/>
      <sheetName val="UNDG CATEGORIE"/>
    </sheetNames>
    <sheetDataSet>
      <sheetData sheetId="0" refreshError="1">
        <row r="18">
          <cell r="L18">
            <v>92543.360000000001</v>
          </cell>
        </row>
        <row r="78">
          <cell r="L78">
            <v>960</v>
          </cell>
        </row>
        <row r="80">
          <cell r="L80">
            <v>50000</v>
          </cell>
        </row>
        <row r="82">
          <cell r="L82">
            <v>27142.29</v>
          </cell>
        </row>
        <row r="83">
          <cell r="L83">
            <v>300</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3" sqref="B3"/>
    </sheetView>
  </sheetViews>
  <sheetFormatPr baseColWidth="10" defaultColWidth="9.140625" defaultRowHeight="15" x14ac:dyDescent="0.25"/>
  <cols>
    <col min="2" max="2" width="133.42578125" customWidth="1"/>
  </cols>
  <sheetData>
    <row r="2" spans="2:5" ht="36.75" customHeight="1" thickBot="1" x14ac:dyDescent="0.3">
      <c r="B2" s="379" t="s">
        <v>445</v>
      </c>
      <c r="C2" s="379"/>
      <c r="D2" s="379"/>
      <c r="E2" s="379"/>
    </row>
    <row r="3" spans="2:5" ht="361.5" customHeight="1" thickBot="1" x14ac:dyDescent="0.3">
      <c r="B3" s="131" t="s">
        <v>446</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45"/>
  <sheetViews>
    <sheetView showGridLines="0" showZeros="0" zoomScale="75" zoomScaleNormal="75" workbookViewId="0">
      <pane xSplit="2" ySplit="5" topLeftCell="D6" activePane="bottomRight" state="frozen"/>
      <selection pane="topRight" activeCell="C1" sqref="C1"/>
      <selection pane="bottomLeft" activeCell="A6" sqref="A6"/>
      <selection pane="bottomRight" activeCell="E5" sqref="E5"/>
    </sheetView>
  </sheetViews>
  <sheetFormatPr baseColWidth="10" defaultColWidth="9.140625" defaultRowHeight="15" x14ac:dyDescent="0.25"/>
  <cols>
    <col min="1" max="1" width="4.28515625" style="142" customWidth="1"/>
    <col min="2" max="2" width="30.7109375" style="142" customWidth="1"/>
    <col min="3" max="3" width="41" style="142" customWidth="1"/>
    <col min="4" max="5" width="23.140625" style="142" customWidth="1"/>
    <col min="6" max="6" width="23.140625" style="173" customWidth="1"/>
    <col min="7" max="8" width="23.140625" style="142" customWidth="1"/>
    <col min="9" max="9" width="22.42578125" style="142" customWidth="1"/>
    <col min="10" max="10" width="22.42578125" style="158" customWidth="1"/>
    <col min="11" max="11" width="29.5703125" style="133" customWidth="1"/>
    <col min="12" max="12" width="30.28515625" style="142" customWidth="1"/>
    <col min="13" max="13" width="18.85546875" style="142" customWidth="1"/>
    <col min="14" max="14" width="9.140625" style="142"/>
    <col min="15" max="15" width="17.7109375" style="142" customWidth="1"/>
    <col min="16" max="16" width="26.42578125" style="142" customWidth="1"/>
    <col min="17" max="17" width="22.42578125" style="142" customWidth="1"/>
    <col min="18" max="18" width="29.7109375" style="142" customWidth="1"/>
    <col min="19" max="19" width="23.42578125" style="142" customWidth="1"/>
    <col min="20" max="20" width="18.42578125" style="142" customWidth="1"/>
    <col min="21" max="21" width="17.42578125" style="142" customWidth="1"/>
    <col min="22" max="22" width="25.140625" style="142" customWidth="1"/>
    <col min="23" max="16384" width="9.140625" style="142"/>
  </cols>
  <sheetData>
    <row r="2" spans="1:13" ht="29.25" customHeight="1" x14ac:dyDescent="0.25">
      <c r="B2" s="391" t="s">
        <v>538</v>
      </c>
      <c r="C2" s="391"/>
      <c r="D2" s="391"/>
      <c r="E2" s="391"/>
      <c r="F2" s="391"/>
      <c r="G2" s="143"/>
      <c r="H2" s="143"/>
      <c r="I2" s="144"/>
      <c r="J2" s="145"/>
      <c r="K2" s="146"/>
      <c r="L2" s="144"/>
    </row>
    <row r="3" spans="1:13" ht="24" customHeight="1" x14ac:dyDescent="0.25">
      <c r="B3" s="392" t="s">
        <v>364</v>
      </c>
      <c r="C3" s="392"/>
      <c r="D3" s="392"/>
      <c r="E3" s="392"/>
      <c r="F3" s="392"/>
      <c r="G3" s="392"/>
      <c r="H3" s="392"/>
      <c r="I3" s="392"/>
      <c r="J3" s="147"/>
      <c r="K3" s="148"/>
    </row>
    <row r="4" spans="1:13" ht="6.75" customHeight="1" x14ac:dyDescent="0.25">
      <c r="D4" s="149"/>
      <c r="E4" s="149"/>
      <c r="F4" s="170"/>
      <c r="G4" s="149"/>
      <c r="H4" s="149"/>
      <c r="I4" s="150"/>
      <c r="J4" s="133"/>
      <c r="L4" s="151"/>
      <c r="M4" s="151"/>
    </row>
    <row r="5" spans="1:13" ht="148.5" customHeight="1" x14ac:dyDescent="0.25">
      <c r="B5" s="70" t="s">
        <v>365</v>
      </c>
      <c r="C5" s="70" t="s">
        <v>397</v>
      </c>
      <c r="D5" s="132" t="s">
        <v>452</v>
      </c>
      <c r="E5" s="193" t="s">
        <v>480</v>
      </c>
      <c r="F5" s="185" t="s">
        <v>476</v>
      </c>
      <c r="G5" s="169" t="s">
        <v>477</v>
      </c>
      <c r="H5" s="70" t="s">
        <v>11</v>
      </c>
      <c r="I5" s="70" t="s">
        <v>398</v>
      </c>
      <c r="J5" s="284" t="s">
        <v>439</v>
      </c>
      <c r="K5" s="141" t="s">
        <v>447</v>
      </c>
      <c r="L5" s="70" t="s">
        <v>448</v>
      </c>
      <c r="M5" s="34"/>
    </row>
    <row r="6" spans="1:13" ht="51" customHeight="1" x14ac:dyDescent="0.25">
      <c r="B6" s="65" t="s">
        <v>366</v>
      </c>
      <c r="C6" s="388" t="s">
        <v>449</v>
      </c>
      <c r="D6" s="388"/>
      <c r="E6" s="388"/>
      <c r="F6" s="388"/>
      <c r="G6" s="388"/>
      <c r="H6" s="388"/>
      <c r="I6" s="388"/>
      <c r="J6" s="389"/>
      <c r="K6" s="389"/>
      <c r="L6" s="388"/>
      <c r="M6" s="14"/>
    </row>
    <row r="7" spans="1:13" ht="51" customHeight="1" x14ac:dyDescent="0.25">
      <c r="B7" s="65" t="s">
        <v>367</v>
      </c>
      <c r="C7" s="393" t="s">
        <v>450</v>
      </c>
      <c r="D7" s="393"/>
      <c r="E7" s="393"/>
      <c r="F7" s="393"/>
      <c r="G7" s="393"/>
      <c r="H7" s="393"/>
      <c r="I7" s="393"/>
      <c r="J7" s="387"/>
      <c r="K7" s="387"/>
      <c r="L7" s="393"/>
      <c r="M7" s="35"/>
    </row>
    <row r="8" spans="1:13" ht="74.25" customHeight="1" x14ac:dyDescent="0.25">
      <c r="B8" s="66" t="s">
        <v>368</v>
      </c>
      <c r="C8" s="165" t="s">
        <v>451</v>
      </c>
      <c r="D8" s="219">
        <v>789000</v>
      </c>
      <c r="E8" s="194">
        <v>183639</v>
      </c>
      <c r="F8" s="218">
        <v>0</v>
      </c>
      <c r="G8" s="171">
        <v>67049.78</v>
      </c>
      <c r="H8" s="93">
        <f>SUM(D8:G8)</f>
        <v>1039688.78</v>
      </c>
      <c r="I8" s="90"/>
      <c r="J8" s="283">
        <f>+IFR!J15</f>
        <v>1171819.1599999999</v>
      </c>
      <c r="K8" s="135"/>
      <c r="L8" s="153"/>
      <c r="M8" s="36"/>
    </row>
    <row r="9" spans="1:13" ht="33" customHeight="1" x14ac:dyDescent="0.25">
      <c r="B9" s="66" t="s">
        <v>369</v>
      </c>
      <c r="C9" s="152" t="str">
        <f>'[1]1) Tableau 1 - Par produits '!$C$16</f>
        <v xml:space="preserve">Bureaux SecTec opérationnels.  </v>
      </c>
      <c r="D9" s="219">
        <v>150800</v>
      </c>
      <c r="E9" s="220">
        <v>69158</v>
      </c>
      <c r="F9" s="218">
        <f>480038-259800+10000-208</f>
        <v>230030</v>
      </c>
      <c r="G9" s="171">
        <v>92543.360000000001</v>
      </c>
      <c r="H9" s="93">
        <f t="shared" ref="H9:H11" si="0">SUM(D9:G9)</f>
        <v>542531.36</v>
      </c>
      <c r="I9" s="90"/>
      <c r="J9" s="283">
        <f>+'2) Tableau budgétaire 2'!I9+'2) Tableau budgétaire 2'!I10+'2) Tableau budgétaire 2'!I11+'2) Tableau budgétaire 2'!I14-13681.65+572.58</f>
        <v>515563.19</v>
      </c>
      <c r="K9" s="135"/>
      <c r="L9" s="153"/>
      <c r="M9" s="36"/>
    </row>
    <row r="10" spans="1:13" ht="25.5" customHeight="1" x14ac:dyDescent="0.25">
      <c r="B10" s="66" t="s">
        <v>370</v>
      </c>
      <c r="C10" s="152" t="str">
        <f>'[1]1) Tableau 1 - Par produits '!$C$17</f>
        <v xml:space="preserve">Formation du staff du SecTec </v>
      </c>
      <c r="D10" s="219">
        <v>27000</v>
      </c>
      <c r="E10" s="194">
        <f>47000-D10</f>
        <v>20000</v>
      </c>
      <c r="F10" s="218">
        <f>84380-47000</f>
        <v>37380</v>
      </c>
      <c r="G10" s="171">
        <v>28010</v>
      </c>
      <c r="H10" s="93">
        <f t="shared" si="0"/>
        <v>112390</v>
      </c>
      <c r="I10" s="90"/>
      <c r="J10" s="283">
        <f>12367.65+1314</f>
        <v>13681.65</v>
      </c>
      <c r="K10" s="135"/>
      <c r="L10" s="153"/>
      <c r="M10" s="36"/>
    </row>
    <row r="11" spans="1:13" ht="37.5" customHeight="1" x14ac:dyDescent="0.25">
      <c r="B11" s="66" t="s">
        <v>371</v>
      </c>
      <c r="C11" s="152" t="str">
        <f>'[1]1) Tableau 1 - Par produits '!$C$18</f>
        <v xml:space="preserve">Phase pilote échanges PBSO NY et PBF Madagascar   </v>
      </c>
      <c r="D11" s="219">
        <v>0</v>
      </c>
      <c r="E11" s="194">
        <v>45000</v>
      </c>
      <c r="F11" s="218">
        <v>0</v>
      </c>
      <c r="G11" s="171">
        <v>28000</v>
      </c>
      <c r="H11" s="93">
        <f t="shared" si="0"/>
        <v>73000</v>
      </c>
      <c r="I11" s="90"/>
      <c r="J11" s="283">
        <f>46642.48+350</f>
        <v>46992.480000000003</v>
      </c>
      <c r="K11" s="135"/>
      <c r="L11" s="153"/>
      <c r="M11" s="36"/>
    </row>
    <row r="12" spans="1:13" ht="15.75" x14ac:dyDescent="0.25">
      <c r="A12" s="151"/>
      <c r="C12" s="67" t="s">
        <v>399</v>
      </c>
      <c r="D12" s="16">
        <f>SUM(D8:D11)</f>
        <v>966800</v>
      </c>
      <c r="E12" s="195">
        <f>SUM(E8:E11)</f>
        <v>317797</v>
      </c>
      <c r="F12" s="189">
        <f>SUM(F8:F11)</f>
        <v>267410</v>
      </c>
      <c r="G12" s="174">
        <f>SUM(G8:G11)</f>
        <v>215603.14</v>
      </c>
      <c r="H12" s="250">
        <f>SUM(H8:H11)</f>
        <v>1767610.1400000001</v>
      </c>
      <c r="I12" s="81"/>
      <c r="J12" s="289">
        <f>SUM(J8:J11)</f>
        <v>1748056.4799999997</v>
      </c>
      <c r="K12" s="81">
        <v>0</v>
      </c>
      <c r="L12" s="155"/>
      <c r="M12" s="38"/>
    </row>
    <row r="13" spans="1:13" ht="51" customHeight="1" x14ac:dyDescent="0.25">
      <c r="A13" s="151"/>
      <c r="B13" s="65" t="s">
        <v>372</v>
      </c>
      <c r="C13" s="386" t="s">
        <v>453</v>
      </c>
      <c r="D13" s="386"/>
      <c r="E13" s="386"/>
      <c r="F13" s="386"/>
      <c r="G13" s="386"/>
      <c r="H13" s="386"/>
      <c r="I13" s="386"/>
      <c r="J13" s="387"/>
      <c r="K13" s="387"/>
      <c r="L13" s="386"/>
      <c r="M13" s="35"/>
    </row>
    <row r="14" spans="1:13" ht="97.5" customHeight="1" x14ac:dyDescent="0.25">
      <c r="A14" s="151"/>
      <c r="B14" s="66" t="s">
        <v>373</v>
      </c>
      <c r="C14" s="165" t="s">
        <v>454</v>
      </c>
      <c r="D14" s="219">
        <v>16600</v>
      </c>
      <c r="E14" s="194">
        <v>0</v>
      </c>
      <c r="F14" s="188">
        <f>+(30072.24+15000+600)-31600</f>
        <v>14072.240000000005</v>
      </c>
      <c r="G14" s="171">
        <v>70297.63</v>
      </c>
      <c r="H14" s="93">
        <f>SUM(D14:G14)</f>
        <v>100969.87000000001</v>
      </c>
      <c r="I14" s="90"/>
      <c r="J14" s="283">
        <f>61085.7+9269+13770.67+1092.1+2897.85</f>
        <v>88115.32</v>
      </c>
      <c r="K14" s="135"/>
      <c r="L14" s="153"/>
      <c r="M14" s="36"/>
    </row>
    <row r="15" spans="1:13" ht="116.25" customHeight="1" x14ac:dyDescent="0.25">
      <c r="A15" s="151"/>
      <c r="B15" s="66" t="s">
        <v>374</v>
      </c>
      <c r="C15" s="166" t="s">
        <v>455</v>
      </c>
      <c r="D15" s="219">
        <v>49000</v>
      </c>
      <c r="E15" s="194">
        <v>0</v>
      </c>
      <c r="F15" s="188">
        <v>0</v>
      </c>
      <c r="G15" s="171">
        <v>0</v>
      </c>
      <c r="H15" s="93">
        <f t="shared" ref="H15:H16" si="1">SUM(D15:G15)</f>
        <v>49000</v>
      </c>
      <c r="I15" s="90"/>
      <c r="J15" s="283">
        <v>83342.47</v>
      </c>
      <c r="K15" s="135"/>
      <c r="L15" s="153"/>
      <c r="M15" s="36"/>
    </row>
    <row r="16" spans="1:13" ht="118.5" customHeight="1" x14ac:dyDescent="0.25">
      <c r="A16" s="151"/>
      <c r="B16" s="66" t="s">
        <v>375</v>
      </c>
      <c r="C16" s="165" t="s">
        <v>456</v>
      </c>
      <c r="D16" s="219">
        <v>0</v>
      </c>
      <c r="E16" s="194">
        <v>21000</v>
      </c>
      <c r="F16" s="188">
        <f>42710-21000</f>
        <v>21710</v>
      </c>
      <c r="G16" s="171">
        <v>5130</v>
      </c>
      <c r="H16" s="93">
        <f t="shared" si="1"/>
        <v>47840</v>
      </c>
      <c r="I16" s="90"/>
      <c r="J16" s="283">
        <v>45019.02</v>
      </c>
      <c r="K16" s="135"/>
      <c r="L16" s="153"/>
      <c r="M16" s="36"/>
    </row>
    <row r="17" spans="1:13" ht="15.75" x14ac:dyDescent="0.25">
      <c r="A17" s="151"/>
      <c r="C17" s="67" t="s">
        <v>399</v>
      </c>
      <c r="D17" s="18">
        <f>SUM(D14:D16)</f>
        <v>65600</v>
      </c>
      <c r="E17" s="196">
        <f>SUM(E14:E16)</f>
        <v>21000</v>
      </c>
      <c r="F17" s="190">
        <f>SUM(F14:F16)</f>
        <v>35782.240000000005</v>
      </c>
      <c r="G17" s="175">
        <f>SUM(G14:G16)</f>
        <v>75427.63</v>
      </c>
      <c r="H17" s="250">
        <f>SUM(H14:H16)</f>
        <v>197809.87</v>
      </c>
      <c r="I17" s="81">
        <f>(I14*H14)+(I15*H15)+(I16*H16)</f>
        <v>0</v>
      </c>
      <c r="J17" s="289">
        <f>SUM(J14:J16)</f>
        <v>216476.81</v>
      </c>
      <c r="K17" s="136">
        <v>0</v>
      </c>
      <c r="L17" s="155"/>
      <c r="M17" s="38"/>
    </row>
    <row r="18" spans="1:13" ht="51" customHeight="1" x14ac:dyDescent="0.25">
      <c r="A18" s="151"/>
      <c r="B18" s="65" t="s">
        <v>376</v>
      </c>
      <c r="C18" s="386" t="s">
        <v>457</v>
      </c>
      <c r="D18" s="386"/>
      <c r="E18" s="386"/>
      <c r="F18" s="386"/>
      <c r="G18" s="386"/>
      <c r="H18" s="386"/>
      <c r="I18" s="386"/>
      <c r="J18" s="387"/>
      <c r="K18" s="387"/>
      <c r="L18" s="386"/>
      <c r="M18" s="35"/>
    </row>
    <row r="19" spans="1:13" ht="54.75" customHeight="1" x14ac:dyDescent="0.25">
      <c r="A19" s="151"/>
      <c r="B19" s="66" t="s">
        <v>377</v>
      </c>
      <c r="C19" s="165" t="s">
        <v>458</v>
      </c>
      <c r="D19" s="219">
        <v>0</v>
      </c>
      <c r="E19" s="202">
        <v>0</v>
      </c>
      <c r="F19" s="188">
        <v>0</v>
      </c>
      <c r="G19" s="171">
        <v>0</v>
      </c>
      <c r="H19" s="93">
        <f>SUM(D19:G19)</f>
        <v>0</v>
      </c>
      <c r="I19" s="90"/>
      <c r="J19" s="283">
        <v>0</v>
      </c>
      <c r="K19" s="210"/>
      <c r="L19" s="153"/>
      <c r="M19" s="36"/>
    </row>
    <row r="20" spans="1:13" ht="47.25" customHeight="1" x14ac:dyDescent="0.25">
      <c r="A20" s="151"/>
      <c r="B20" s="66" t="s">
        <v>378</v>
      </c>
      <c r="C20" s="165" t="s">
        <v>459</v>
      </c>
      <c r="D20" s="219">
        <v>16000</v>
      </c>
      <c r="E20" s="202">
        <f>7000+61970</f>
        <v>68970</v>
      </c>
      <c r="F20" s="188">
        <f>75413-23000</f>
        <v>52413</v>
      </c>
      <c r="G20" s="171">
        <v>0</v>
      </c>
      <c r="H20" s="93">
        <f t="shared" ref="H20:H24" si="2">SUM(D20:G20)</f>
        <v>137383</v>
      </c>
      <c r="I20" s="90"/>
      <c r="J20" s="283">
        <f>79060.99+10508</f>
        <v>89568.99</v>
      </c>
      <c r="K20" s="135"/>
      <c r="L20" s="153"/>
      <c r="M20" s="36"/>
    </row>
    <row r="21" spans="1:13" ht="15.75" x14ac:dyDescent="0.25">
      <c r="A21" s="151"/>
      <c r="B21" s="66" t="s">
        <v>379</v>
      </c>
      <c r="C21" s="167"/>
      <c r="D21" s="219">
        <v>0</v>
      </c>
      <c r="E21" s="194">
        <v>0</v>
      </c>
      <c r="F21" s="188"/>
      <c r="G21" s="171">
        <v>0</v>
      </c>
      <c r="H21" s="93">
        <f t="shared" si="2"/>
        <v>0</v>
      </c>
      <c r="I21" s="90"/>
      <c r="J21" s="283">
        <v>0</v>
      </c>
      <c r="K21" s="135"/>
      <c r="L21" s="153"/>
      <c r="M21" s="36"/>
    </row>
    <row r="22" spans="1:13" ht="39.75" customHeight="1" x14ac:dyDescent="0.25">
      <c r="A22" s="151"/>
      <c r="B22" s="66" t="s">
        <v>380</v>
      </c>
      <c r="C22" s="165" t="s">
        <v>460</v>
      </c>
      <c r="D22" s="219">
        <v>232970</v>
      </c>
      <c r="E22" s="202">
        <f>+(249970-232970)</f>
        <v>17000</v>
      </c>
      <c r="F22" s="188">
        <f>330070-249970</f>
        <v>80100</v>
      </c>
      <c r="G22" s="171">
        <v>50100</v>
      </c>
      <c r="H22" s="93">
        <f t="shared" si="2"/>
        <v>380170</v>
      </c>
      <c r="I22" s="90"/>
      <c r="J22" s="283">
        <v>336150.59</v>
      </c>
      <c r="K22" s="135"/>
      <c r="L22" s="153"/>
      <c r="M22" s="36"/>
    </row>
    <row r="23" spans="1:13" s="151" customFormat="1" ht="56.25" customHeight="1" x14ac:dyDescent="0.25">
      <c r="B23" s="66" t="s">
        <v>381</v>
      </c>
      <c r="C23" s="165" t="s">
        <v>461</v>
      </c>
      <c r="D23" s="219">
        <v>0</v>
      </c>
      <c r="E23" s="202">
        <v>0</v>
      </c>
      <c r="F23" s="188"/>
      <c r="G23" s="171">
        <v>0</v>
      </c>
      <c r="H23" s="93">
        <f t="shared" si="2"/>
        <v>0</v>
      </c>
      <c r="I23" s="90"/>
      <c r="J23" s="283">
        <v>0</v>
      </c>
      <c r="K23" s="135"/>
      <c r="L23" s="153"/>
      <c r="M23" s="36"/>
    </row>
    <row r="24" spans="1:13" s="151" customFormat="1" ht="45" x14ac:dyDescent="0.25">
      <c r="B24" s="203" t="s">
        <v>483</v>
      </c>
      <c r="C24" s="165" t="s">
        <v>462</v>
      </c>
      <c r="D24" s="219">
        <v>48000</v>
      </c>
      <c r="E24" s="202">
        <v>0</v>
      </c>
      <c r="F24" s="188">
        <f>71560-48000</f>
        <v>23560</v>
      </c>
      <c r="G24" s="171">
        <v>0</v>
      </c>
      <c r="H24" s="93">
        <f t="shared" si="2"/>
        <v>71560</v>
      </c>
      <c r="I24" s="90"/>
      <c r="J24" s="283">
        <v>65119.96</v>
      </c>
      <c r="K24" s="135"/>
      <c r="L24" s="153"/>
      <c r="M24" s="36"/>
    </row>
    <row r="25" spans="1:13" ht="16.5" thickBot="1" x14ac:dyDescent="0.3">
      <c r="C25" s="249" t="s">
        <v>399</v>
      </c>
      <c r="D25" s="18">
        <f>SUM(D19:D24)</f>
        <v>296970</v>
      </c>
      <c r="E25" s="196">
        <f>SUM(E19:E24)</f>
        <v>85970</v>
      </c>
      <c r="F25" s="190">
        <f>SUM(F19:F24)</f>
        <v>156073</v>
      </c>
      <c r="G25" s="175">
        <f>SUM(G19:G24)</f>
        <v>50100</v>
      </c>
      <c r="H25" s="250">
        <f>SUM(H19:H24)</f>
        <v>589113</v>
      </c>
      <c r="I25" s="252">
        <f>(I19*H19)+(I20*H20)+(I21*H21)+(I22*H22)+(I23*H23)+(I24*H24)</f>
        <v>0</v>
      </c>
      <c r="J25" s="291">
        <f>SUM(J19:J24)</f>
        <v>490839.54000000004</v>
      </c>
      <c r="K25" s="136"/>
      <c r="L25" s="155"/>
      <c r="M25" s="38"/>
    </row>
    <row r="26" spans="1:13" ht="19.5" thickBot="1" x14ac:dyDescent="0.3">
      <c r="B26" s="380" t="s">
        <v>487</v>
      </c>
      <c r="C26" s="381"/>
      <c r="D26" s="381"/>
      <c r="E26" s="381"/>
      <c r="F26" s="381"/>
      <c r="G26" s="382"/>
      <c r="H26" s="254">
        <f>H12+H17+H25</f>
        <v>2554533.0100000002</v>
      </c>
      <c r="I26" s="254">
        <f t="shared" ref="I26:J26" si="3">I12+I17+I25</f>
        <v>0</v>
      </c>
      <c r="J26" s="255">
        <f t="shared" si="3"/>
        <v>2455372.83</v>
      </c>
      <c r="K26" s="251">
        <v>0</v>
      </c>
      <c r="L26" s="155"/>
      <c r="M26" s="38"/>
    </row>
    <row r="27" spans="1:13" ht="15.75" x14ac:dyDescent="0.25">
      <c r="B27" s="10"/>
      <c r="C27" s="156"/>
      <c r="D27" s="9"/>
      <c r="E27" s="9"/>
      <c r="F27" s="172"/>
      <c r="G27" s="9"/>
      <c r="H27" s="9"/>
      <c r="I27" s="9"/>
      <c r="J27" s="9"/>
      <c r="K27" s="137"/>
      <c r="L27" s="9"/>
      <c r="M27" s="37"/>
    </row>
    <row r="28" spans="1:13" ht="51" customHeight="1" x14ac:dyDescent="0.25">
      <c r="B28" s="67" t="s">
        <v>382</v>
      </c>
      <c r="C28" s="390" t="s">
        <v>463</v>
      </c>
      <c r="D28" s="390"/>
      <c r="E28" s="390"/>
      <c r="F28" s="390"/>
      <c r="G28" s="390"/>
      <c r="H28" s="390"/>
      <c r="I28" s="390"/>
      <c r="J28" s="389"/>
      <c r="K28" s="389"/>
      <c r="L28" s="390"/>
      <c r="M28" s="14"/>
    </row>
    <row r="29" spans="1:13" ht="51" customHeight="1" x14ac:dyDescent="0.25">
      <c r="B29" s="65" t="s">
        <v>383</v>
      </c>
      <c r="C29" s="386" t="s">
        <v>464</v>
      </c>
      <c r="D29" s="386"/>
      <c r="E29" s="386"/>
      <c r="F29" s="386"/>
      <c r="G29" s="386"/>
      <c r="H29" s="386"/>
      <c r="I29" s="386"/>
      <c r="J29" s="387"/>
      <c r="K29" s="387"/>
      <c r="L29" s="386"/>
      <c r="M29" s="35"/>
    </row>
    <row r="30" spans="1:13" ht="54" customHeight="1" x14ac:dyDescent="0.25">
      <c r="B30" s="66" t="s">
        <v>384</v>
      </c>
      <c r="C30" s="165" t="s">
        <v>465</v>
      </c>
      <c r="D30" s="219">
        <v>3330</v>
      </c>
      <c r="E30" s="202">
        <f>3100-30</f>
        <v>3070</v>
      </c>
      <c r="F30" s="188">
        <v>17842.240000000002</v>
      </c>
      <c r="G30" s="171">
        <v>960</v>
      </c>
      <c r="H30" s="93">
        <f>SUM(D30:G30)</f>
        <v>25202.240000000002</v>
      </c>
      <c r="I30" s="90"/>
      <c r="J30" s="283">
        <v>0</v>
      </c>
      <c r="K30" s="135"/>
      <c r="L30" s="153"/>
      <c r="M30" s="36"/>
    </row>
    <row r="31" spans="1:13" ht="60" x14ac:dyDescent="0.25">
      <c r="B31" s="66" t="s">
        <v>385</v>
      </c>
      <c r="C31" s="165" t="s">
        <v>466</v>
      </c>
      <c r="D31" s="219">
        <v>20000</v>
      </c>
      <c r="E31" s="202">
        <f>27667-D31</f>
        <v>7667</v>
      </c>
      <c r="F31" s="188">
        <v>0</v>
      </c>
      <c r="G31" s="171">
        <v>50000</v>
      </c>
      <c r="H31" s="93">
        <f t="shared" ref="H31:H32" si="4">SUM(D31:G31)</f>
        <v>77667</v>
      </c>
      <c r="I31" s="90"/>
      <c r="J31" s="283">
        <v>50008.52</v>
      </c>
      <c r="K31" s="135"/>
      <c r="L31" s="153"/>
      <c r="M31" s="36"/>
    </row>
    <row r="32" spans="1:13" ht="60" x14ac:dyDescent="0.25">
      <c r="B32" s="66" t="s">
        <v>386</v>
      </c>
      <c r="C32" s="165" t="s">
        <v>467</v>
      </c>
      <c r="D32" s="219">
        <v>23470</v>
      </c>
      <c r="E32" s="202">
        <v>1334.22</v>
      </c>
      <c r="F32" s="188">
        <v>0</v>
      </c>
      <c r="G32" s="171">
        <v>27442.29</v>
      </c>
      <c r="H32" s="93">
        <f t="shared" si="4"/>
        <v>52246.51</v>
      </c>
      <c r="I32" s="90"/>
      <c r="J32" s="283">
        <v>0</v>
      </c>
      <c r="K32" s="135"/>
      <c r="L32" s="153"/>
      <c r="M32" s="36"/>
    </row>
    <row r="33" spans="1:13" s="151" customFormat="1" ht="15.75" x14ac:dyDescent="0.25">
      <c r="A33" s="142"/>
      <c r="B33" s="142"/>
      <c r="C33" s="67" t="s">
        <v>399</v>
      </c>
      <c r="D33" s="16">
        <f>SUM(D30:D32)</f>
        <v>46800</v>
      </c>
      <c r="E33" s="195">
        <f>SUM(E30:E32)</f>
        <v>12071.22</v>
      </c>
      <c r="F33" s="189">
        <f>SUM(F30:F32)</f>
        <v>17842.240000000002</v>
      </c>
      <c r="G33" s="174">
        <f>SUM(G30:G32)</f>
        <v>78402.290000000008</v>
      </c>
      <c r="H33" s="250">
        <f>SUM(H30:H32)</f>
        <v>155115.75</v>
      </c>
      <c r="I33" s="81">
        <f>(I30*H30)+(I31*H31)+(I32*H32)</f>
        <v>0</v>
      </c>
      <c r="J33" s="289">
        <f>SUM(J30:J32)</f>
        <v>50008.52</v>
      </c>
      <c r="K33" s="136">
        <v>0</v>
      </c>
      <c r="L33" s="155"/>
      <c r="M33" s="38"/>
    </row>
    <row r="34" spans="1:13" ht="51" customHeight="1" x14ac:dyDescent="0.25">
      <c r="B34" s="65" t="s">
        <v>387</v>
      </c>
      <c r="C34" s="386" t="s">
        <v>468</v>
      </c>
      <c r="D34" s="386"/>
      <c r="E34" s="386"/>
      <c r="F34" s="386"/>
      <c r="G34" s="386"/>
      <c r="H34" s="386"/>
      <c r="I34" s="386"/>
      <c r="J34" s="387"/>
      <c r="K34" s="387"/>
      <c r="L34" s="386"/>
      <c r="M34" s="35"/>
    </row>
    <row r="35" spans="1:13" ht="88.5" customHeight="1" x14ac:dyDescent="0.25">
      <c r="B35" s="66" t="s">
        <v>388</v>
      </c>
      <c r="C35" s="165" t="s">
        <v>469</v>
      </c>
      <c r="D35" s="219">
        <v>0</v>
      </c>
      <c r="E35" s="194">
        <v>0</v>
      </c>
      <c r="F35" s="188"/>
      <c r="G35" s="171">
        <v>2720</v>
      </c>
      <c r="H35" s="93">
        <f>SUM(D35:G35)</f>
        <v>2720</v>
      </c>
      <c r="I35" s="90"/>
      <c r="J35" s="283">
        <v>0</v>
      </c>
      <c r="K35" s="135"/>
      <c r="L35" s="153"/>
      <c r="M35" s="36"/>
    </row>
    <row r="36" spans="1:13" ht="71.25" customHeight="1" x14ac:dyDescent="0.25">
      <c r="B36" s="66" t="s">
        <v>389</v>
      </c>
      <c r="C36" s="165" t="s">
        <v>470</v>
      </c>
      <c r="D36" s="219">
        <v>25700</v>
      </c>
      <c r="E36" s="194">
        <v>11630</v>
      </c>
      <c r="F36" s="188">
        <v>23700</v>
      </c>
      <c r="G36" s="171">
        <v>35000</v>
      </c>
      <c r="H36" s="93">
        <f t="shared" ref="H36:H40" si="5">SUM(D36:G36)</f>
        <v>96030</v>
      </c>
      <c r="I36" s="90"/>
      <c r="J36" s="283">
        <f>49579.67+127+4111+438</f>
        <v>54255.67</v>
      </c>
      <c r="K36" s="135"/>
      <c r="L36" s="153"/>
      <c r="M36" s="36"/>
    </row>
    <row r="37" spans="1:13" ht="71.25" customHeight="1" x14ac:dyDescent="0.25">
      <c r="B37" s="66" t="s">
        <v>390</v>
      </c>
      <c r="C37" s="165" t="s">
        <v>471</v>
      </c>
      <c r="D37" s="219">
        <v>0</v>
      </c>
      <c r="E37" s="194">
        <v>0</v>
      </c>
      <c r="F37" s="188"/>
      <c r="G37" s="171">
        <v>0</v>
      </c>
      <c r="H37" s="93">
        <f t="shared" si="5"/>
        <v>0</v>
      </c>
      <c r="I37" s="90"/>
      <c r="J37" s="283">
        <v>0</v>
      </c>
      <c r="K37" s="135"/>
      <c r="L37" s="153"/>
      <c r="M37" s="36"/>
    </row>
    <row r="38" spans="1:13" ht="89.25" customHeight="1" x14ac:dyDescent="0.25">
      <c r="B38" s="66" t="s">
        <v>391</v>
      </c>
      <c r="C38" s="154" t="s">
        <v>472</v>
      </c>
      <c r="D38" s="219">
        <v>0</v>
      </c>
      <c r="E38" s="194">
        <v>0</v>
      </c>
      <c r="F38" s="188"/>
      <c r="G38" s="171">
        <v>10000</v>
      </c>
      <c r="H38" s="93">
        <f t="shared" si="5"/>
        <v>10000</v>
      </c>
      <c r="I38" s="91"/>
      <c r="J38" s="283">
        <v>0</v>
      </c>
      <c r="K38" s="135"/>
      <c r="L38" s="155"/>
      <c r="M38" s="36"/>
    </row>
    <row r="39" spans="1:13" ht="113.25" customHeight="1" x14ac:dyDescent="0.25">
      <c r="B39" s="66" t="s">
        <v>392</v>
      </c>
      <c r="C39" s="168" t="s">
        <v>473</v>
      </c>
      <c r="D39" s="219">
        <v>0</v>
      </c>
      <c r="E39" s="194">
        <v>15000</v>
      </c>
      <c r="F39" s="188">
        <v>10000</v>
      </c>
      <c r="G39" s="171">
        <v>30000</v>
      </c>
      <c r="H39" s="93">
        <f t="shared" ref="H39" si="6">SUM(D39:G39)</f>
        <v>55000</v>
      </c>
      <c r="I39" s="91"/>
      <c r="J39" s="283">
        <f>2927.37+438</f>
        <v>3365.37</v>
      </c>
      <c r="K39" s="135"/>
      <c r="L39" s="155"/>
      <c r="M39" s="36"/>
    </row>
    <row r="40" spans="1:13" ht="65.25" customHeight="1" x14ac:dyDescent="0.25">
      <c r="B40" s="203" t="s">
        <v>481</v>
      </c>
      <c r="C40" s="168" t="s">
        <v>482</v>
      </c>
      <c r="D40" s="15">
        <v>0</v>
      </c>
      <c r="E40" s="194">
        <v>0</v>
      </c>
      <c r="F40" s="188">
        <v>12000</v>
      </c>
      <c r="G40" s="171">
        <v>0</v>
      </c>
      <c r="H40" s="93">
        <f t="shared" si="5"/>
        <v>12000</v>
      </c>
      <c r="I40" s="91"/>
      <c r="J40" s="283">
        <v>0</v>
      </c>
      <c r="K40" s="135"/>
      <c r="L40" s="155"/>
      <c r="M40" s="36"/>
    </row>
    <row r="41" spans="1:13" ht="16.5" thickBot="1" x14ac:dyDescent="0.3">
      <c r="C41" s="67" t="s">
        <v>399</v>
      </c>
      <c r="D41" s="18">
        <f>SUM(D35:D40)</f>
        <v>25700</v>
      </c>
      <c r="E41" s="196">
        <f>SUM(E35:E40)</f>
        <v>26630</v>
      </c>
      <c r="F41" s="190">
        <f>SUM(F35:F40)</f>
        <v>45700</v>
      </c>
      <c r="G41" s="175">
        <f>SUM(G35:G40)</f>
        <v>77720</v>
      </c>
      <c r="H41" s="250">
        <f>SUM(H35:H40)</f>
        <v>175750</v>
      </c>
      <c r="I41" s="81">
        <f>(I35*H35)+(I36*H36)+(I37*H37)+(I38*H38)+(I40*H40)</f>
        <v>0</v>
      </c>
      <c r="J41" s="289">
        <f>SUM(J35:J40)</f>
        <v>57621.04</v>
      </c>
      <c r="K41" s="136">
        <v>0</v>
      </c>
      <c r="L41" s="155"/>
      <c r="M41" s="38"/>
    </row>
    <row r="42" spans="1:13" ht="24.75" customHeight="1" thickBot="1" x14ac:dyDescent="0.3">
      <c r="B42" s="380" t="s">
        <v>488</v>
      </c>
      <c r="C42" s="381"/>
      <c r="D42" s="381"/>
      <c r="E42" s="381"/>
      <c r="F42" s="381"/>
      <c r="G42" s="382"/>
      <c r="H42" s="254">
        <f>+H33+H41</f>
        <v>330865.75</v>
      </c>
      <c r="I42" s="254">
        <f>+I33+I41</f>
        <v>0</v>
      </c>
      <c r="J42" s="255">
        <f>+J33+J41</f>
        <v>107629.56</v>
      </c>
      <c r="K42" s="38"/>
      <c r="L42" s="253"/>
      <c r="M42" s="38"/>
    </row>
    <row r="43" spans="1:13" ht="12" customHeight="1" thickBot="1" x14ac:dyDescent="0.3">
      <c r="B43" s="6"/>
      <c r="C43" s="10"/>
      <c r="D43" s="19"/>
      <c r="E43" s="19"/>
      <c r="F43" s="115"/>
      <c r="G43" s="19"/>
      <c r="H43" s="19"/>
      <c r="I43" s="19"/>
      <c r="J43" s="19"/>
      <c r="K43" s="116"/>
      <c r="L43" s="10"/>
      <c r="M43" s="4"/>
    </row>
    <row r="44" spans="1:13" ht="29.25" customHeight="1" thickBot="1" x14ac:dyDescent="0.3">
      <c r="B44" s="383" t="s">
        <v>489</v>
      </c>
      <c r="C44" s="384"/>
      <c r="D44" s="384"/>
      <c r="E44" s="384"/>
      <c r="F44" s="384"/>
      <c r="G44" s="385"/>
      <c r="H44" s="292">
        <f>H26+H42</f>
        <v>2885398.7600000002</v>
      </c>
      <c r="I44" s="292">
        <f t="shared" ref="I44:J44" si="7">I26+I42</f>
        <v>0</v>
      </c>
      <c r="J44" s="293">
        <f t="shared" si="7"/>
        <v>2563002.39</v>
      </c>
      <c r="K44" s="116"/>
      <c r="L44" s="10"/>
      <c r="M44" s="4"/>
    </row>
    <row r="45" spans="1:13" ht="9" customHeight="1" x14ac:dyDescent="0.25">
      <c r="B45" s="6"/>
      <c r="C45" s="10"/>
      <c r="D45" s="19"/>
      <c r="E45" s="19"/>
      <c r="F45" s="115"/>
      <c r="G45" s="19"/>
      <c r="H45" s="19"/>
      <c r="I45" s="19"/>
      <c r="J45" s="19"/>
      <c r="K45" s="116"/>
      <c r="L45" s="10"/>
      <c r="M45" s="4"/>
    </row>
    <row r="46" spans="1:13" ht="47.25" customHeight="1" x14ac:dyDescent="0.25">
      <c r="B46" s="67" t="s">
        <v>393</v>
      </c>
      <c r="C46" s="13"/>
      <c r="D46" s="26"/>
      <c r="E46" s="197"/>
      <c r="F46" s="186"/>
      <c r="G46" s="176"/>
      <c r="H46" s="82">
        <f>SUM(D46:G46)</f>
        <v>0</v>
      </c>
      <c r="I46" s="92"/>
      <c r="J46" s="26"/>
      <c r="K46" s="138"/>
      <c r="L46" s="157"/>
      <c r="M46" s="38"/>
    </row>
    <row r="47" spans="1:13" ht="47.25" customHeight="1" x14ac:dyDescent="0.25">
      <c r="B47" s="67" t="s">
        <v>394</v>
      </c>
      <c r="C47" s="13"/>
      <c r="D47" s="26"/>
      <c r="E47" s="197"/>
      <c r="F47" s="186"/>
      <c r="G47" s="176"/>
      <c r="H47" s="82">
        <f>SUM(D47:G47)</f>
        <v>0</v>
      </c>
      <c r="I47" s="92"/>
      <c r="J47" s="26"/>
      <c r="K47" s="138"/>
      <c r="L47" s="157"/>
      <c r="M47" s="38"/>
    </row>
    <row r="48" spans="1:13" ht="47.25" customHeight="1" x14ac:dyDescent="0.25">
      <c r="B48" s="67" t="s">
        <v>395</v>
      </c>
      <c r="C48" s="86"/>
      <c r="D48" s="26"/>
      <c r="E48" s="197"/>
      <c r="F48" s="186"/>
      <c r="G48" s="176"/>
      <c r="H48" s="82">
        <f>SUM(D48:G48)</f>
        <v>0</v>
      </c>
      <c r="I48" s="92"/>
      <c r="J48" s="26"/>
      <c r="K48" s="138"/>
      <c r="L48" s="157"/>
      <c r="M48" s="38"/>
    </row>
    <row r="49" spans="2:13" ht="47.25" customHeight="1" x14ac:dyDescent="0.25">
      <c r="B49" s="87" t="s">
        <v>396</v>
      </c>
      <c r="C49" s="13"/>
      <c r="D49" s="26"/>
      <c r="E49" s="197"/>
      <c r="F49" s="186"/>
      <c r="G49" s="176"/>
      <c r="H49" s="82">
        <f>SUM(D49:G49)</f>
        <v>0</v>
      </c>
      <c r="I49" s="92"/>
      <c r="J49" s="26"/>
      <c r="K49" s="138"/>
      <c r="L49" s="157"/>
      <c r="M49" s="38"/>
    </row>
    <row r="50" spans="2:13" ht="38.25" customHeight="1" x14ac:dyDescent="0.25">
      <c r="B50" s="6"/>
      <c r="C50" s="88" t="s">
        <v>400</v>
      </c>
      <c r="D50" s="94">
        <f>SUM(D46:D49)</f>
        <v>0</v>
      </c>
      <c r="E50" s="198"/>
      <c r="F50" s="187">
        <f>SUM(F46:F49)</f>
        <v>0</v>
      </c>
      <c r="G50" s="177">
        <f>SUM(G46:G49)</f>
        <v>0</v>
      </c>
      <c r="H50" s="94">
        <f>SUM(H46:H49)</f>
        <v>0</v>
      </c>
      <c r="I50" s="81">
        <f>(I46*H46)+(I47*H47)+(I48*H48)+(I49*H49)</f>
        <v>0</v>
      </c>
      <c r="J50" s="81">
        <f>SUM(J46:J49)</f>
        <v>0</v>
      </c>
      <c r="K50" s="136"/>
      <c r="L50" s="13"/>
      <c r="M50" s="11"/>
    </row>
    <row r="51" spans="2:13" ht="7.5" customHeight="1" x14ac:dyDescent="0.25">
      <c r="B51" s="6"/>
      <c r="C51" s="10"/>
      <c r="D51" s="19"/>
      <c r="E51" s="19"/>
      <c r="F51" s="115"/>
      <c r="G51" s="19"/>
      <c r="H51" s="19"/>
      <c r="I51" s="19"/>
      <c r="J51" s="19"/>
      <c r="K51" s="116"/>
      <c r="L51" s="10"/>
      <c r="M51" s="11"/>
    </row>
    <row r="52" spans="2:13" ht="7.5" customHeight="1" x14ac:dyDescent="0.25">
      <c r="B52" s="6"/>
      <c r="C52" s="10"/>
      <c r="D52" s="19"/>
      <c r="E52" s="19"/>
      <c r="F52" s="115"/>
      <c r="G52" s="19"/>
      <c r="H52" s="19"/>
      <c r="I52" s="19"/>
      <c r="J52" s="19"/>
      <c r="K52" s="116"/>
      <c r="L52" s="10"/>
      <c r="M52" s="11"/>
    </row>
    <row r="53" spans="2:13" ht="7.5" customHeight="1" x14ac:dyDescent="0.25">
      <c r="B53" s="6"/>
      <c r="C53" s="10"/>
      <c r="D53" s="19"/>
      <c r="E53" s="19"/>
      <c r="F53" s="115"/>
      <c r="G53" s="19"/>
      <c r="H53" s="19"/>
      <c r="I53" s="19"/>
      <c r="J53" s="19"/>
      <c r="K53" s="116"/>
      <c r="L53" s="10"/>
      <c r="M53" s="11"/>
    </row>
    <row r="54" spans="2:13" ht="7.5" customHeight="1" x14ac:dyDescent="0.25">
      <c r="B54" s="6"/>
      <c r="C54" s="10"/>
      <c r="D54" s="19"/>
      <c r="E54" s="19"/>
      <c r="F54" s="115"/>
      <c r="G54" s="19"/>
      <c r="H54" s="19"/>
      <c r="I54" s="19"/>
      <c r="J54" s="19"/>
      <c r="K54" s="116"/>
      <c r="L54" s="10"/>
      <c r="M54" s="11"/>
    </row>
    <row r="55" spans="2:13" ht="7.5" customHeight="1" x14ac:dyDescent="0.25">
      <c r="B55" s="6"/>
      <c r="C55" s="10"/>
      <c r="D55" s="19"/>
      <c r="E55" s="19"/>
      <c r="F55" s="115"/>
      <c r="G55" s="19"/>
      <c r="H55" s="19"/>
      <c r="I55" s="19"/>
      <c r="J55" s="19"/>
      <c r="K55" s="116"/>
      <c r="L55" s="10"/>
      <c r="M55" s="11"/>
    </row>
    <row r="56" spans="2:13" ht="7.5" customHeight="1" x14ac:dyDescent="0.25">
      <c r="B56" s="6"/>
      <c r="C56" s="10"/>
      <c r="D56" s="19"/>
      <c r="E56" s="19"/>
      <c r="F56" s="115"/>
      <c r="G56" s="19"/>
      <c r="H56" s="19"/>
      <c r="I56" s="19"/>
      <c r="J56" s="19"/>
      <c r="K56" s="116"/>
      <c r="L56" s="10"/>
      <c r="M56" s="11"/>
    </row>
    <row r="57" spans="2:13" ht="7.5" customHeight="1" thickBot="1" x14ac:dyDescent="0.3">
      <c r="B57" s="6"/>
      <c r="C57" s="10"/>
      <c r="D57" s="19"/>
      <c r="E57" s="19"/>
      <c r="F57" s="115"/>
      <c r="G57" s="19"/>
      <c r="H57" s="19"/>
      <c r="I57" s="19"/>
      <c r="J57" s="19"/>
      <c r="K57" s="116"/>
      <c r="L57" s="10"/>
      <c r="M57" s="11"/>
    </row>
    <row r="58" spans="2:13" ht="15.75" x14ac:dyDescent="0.25">
      <c r="B58" s="6"/>
      <c r="C58" s="405" t="s">
        <v>408</v>
      </c>
      <c r="D58" s="406"/>
      <c r="E58" s="406"/>
      <c r="F58" s="406"/>
      <c r="G58" s="406"/>
      <c r="H58" s="407"/>
      <c r="I58" s="11"/>
      <c r="J58" s="394" t="s">
        <v>439</v>
      </c>
      <c r="K58" s="139"/>
      <c r="L58" s="11"/>
    </row>
    <row r="59" spans="2:13" ht="66" customHeight="1" x14ac:dyDescent="0.25">
      <c r="B59" s="6"/>
      <c r="C59" s="127"/>
      <c r="D59" s="134" t="str">
        <f>D5</f>
        <v>Budget initial  
(Budget en USD)
UNDP</v>
      </c>
      <c r="E59" s="199" t="str">
        <f>E5</f>
        <v>Budget revisé 2019  (budget en USD)
UNDP</v>
      </c>
      <c r="F59" s="182" t="str">
        <f>F5</f>
        <v>Budget revisé 2020  (budget en USD)
UNDP</v>
      </c>
      <c r="G59" s="178" t="str">
        <f>G5</f>
        <v>Budget revisé 2021 (budget en USD)
UNDP</v>
      </c>
      <c r="H59" s="128" t="s">
        <v>11</v>
      </c>
      <c r="I59" s="10"/>
      <c r="J59" s="395"/>
      <c r="K59" s="116"/>
      <c r="L59" s="11"/>
    </row>
    <row r="60" spans="2:13" ht="42" customHeight="1" x14ac:dyDescent="0.25">
      <c r="B60" s="20"/>
      <c r="C60" s="83" t="s">
        <v>401</v>
      </c>
      <c r="D60" s="68">
        <f>+'2) Tableau budgétaire 2'!D73</f>
        <v>1401870</v>
      </c>
      <c r="E60" s="200">
        <f>+'2) Tableau budgétaire 2'!E73</f>
        <v>463468.22</v>
      </c>
      <c r="F60" s="209">
        <f>+'2) Tableau budgétaire 2'!F73</f>
        <v>522807.48</v>
      </c>
      <c r="G60" s="179">
        <f>+'2) Tableau budgétaire 2'!G73</f>
        <v>497253.0601821848</v>
      </c>
      <c r="H60" s="84">
        <f>SUM(D60:G60)</f>
        <v>2885398.7601821851</v>
      </c>
      <c r="I60" s="212"/>
      <c r="J60" s="285">
        <f>+J44</f>
        <v>2563002.39</v>
      </c>
      <c r="K60" s="19"/>
      <c r="L60" s="12"/>
    </row>
    <row r="61" spans="2:13" ht="42" customHeight="1" x14ac:dyDescent="0.25">
      <c r="B61" s="5"/>
      <c r="C61" s="122" t="s">
        <v>402</v>
      </c>
      <c r="D61" s="68">
        <v>98130</v>
      </c>
      <c r="E61" s="200">
        <f>E60*0.07</f>
        <v>32442.775400000002</v>
      </c>
      <c r="F61" s="183">
        <f>+F60*7%</f>
        <v>36596.5236</v>
      </c>
      <c r="G61" s="179">
        <f>G60*0.07</f>
        <v>34807.714212752937</v>
      </c>
      <c r="H61" s="84">
        <f>SUM(D61:G61)</f>
        <v>201977.01321275294</v>
      </c>
      <c r="I61" s="211"/>
      <c r="J61" s="286">
        <f>IFR!J24</f>
        <v>178025.65</v>
      </c>
      <c r="K61" s="116"/>
      <c r="L61" s="2"/>
    </row>
    <row r="62" spans="2:13" ht="42" customHeight="1" thickBot="1" x14ac:dyDescent="0.3">
      <c r="B62" s="5"/>
      <c r="C62" s="28" t="s">
        <v>11</v>
      </c>
      <c r="D62" s="73">
        <f>SUM(D60:D61)</f>
        <v>1500000</v>
      </c>
      <c r="E62" s="201">
        <f>SUM(E60:E61)</f>
        <v>495910.99539999996</v>
      </c>
      <c r="F62" s="213">
        <f>+F60+F61</f>
        <v>559404.00359999994</v>
      </c>
      <c r="G62" s="180">
        <f>SUM(G60:G61)</f>
        <v>532060.77439493779</v>
      </c>
      <c r="H62" s="85">
        <f>SUM(D62:G62)</f>
        <v>3087375.7733949376</v>
      </c>
      <c r="I62" s="5"/>
      <c r="J62" s="287">
        <f>+J60+J61</f>
        <v>2741028.04</v>
      </c>
      <c r="K62" s="116"/>
      <c r="L62" s="2"/>
    </row>
    <row r="63" spans="2:13" ht="16.5" customHeight="1" x14ac:dyDescent="0.25">
      <c r="B63" s="211"/>
      <c r="D63" s="204"/>
      <c r="E63" s="204"/>
      <c r="F63" s="204"/>
      <c r="G63" s="204"/>
      <c r="H63" s="204"/>
      <c r="I63" s="192"/>
      <c r="L63" s="4"/>
      <c r="M63" s="2"/>
    </row>
    <row r="64" spans="2:13" s="151" customFormat="1" ht="16.5" customHeight="1" thickBot="1" x14ac:dyDescent="0.3">
      <c r="B64" s="212"/>
      <c r="C64" s="30"/>
      <c r="D64" s="31"/>
      <c r="E64" s="31"/>
      <c r="F64" s="31"/>
      <c r="G64" s="31"/>
      <c r="H64" s="31"/>
      <c r="I64" s="31"/>
      <c r="J64" s="117"/>
      <c r="K64" s="121"/>
      <c r="L64" s="11"/>
      <c r="M64" s="12"/>
    </row>
    <row r="65" spans="2:13" ht="23.25" customHeight="1" x14ac:dyDescent="0.25">
      <c r="B65" s="2"/>
      <c r="C65" s="397" t="s">
        <v>403</v>
      </c>
      <c r="D65" s="398"/>
      <c r="E65" s="399"/>
      <c r="F65" s="399"/>
      <c r="G65" s="399"/>
      <c r="H65" s="399"/>
      <c r="I65" s="400"/>
      <c r="J65" s="118"/>
      <c r="K65" s="38"/>
      <c r="L65" s="2"/>
      <c r="M65" s="150"/>
    </row>
    <row r="66" spans="2:13" ht="51.75" customHeight="1" x14ac:dyDescent="0.25">
      <c r="B66" s="2"/>
      <c r="C66" s="69"/>
      <c r="D66" s="134" t="str">
        <f>D5</f>
        <v>Budget initial  
(Budget en USD)
UNDP</v>
      </c>
      <c r="E66" s="193" t="s">
        <v>480</v>
      </c>
      <c r="F66" s="182" t="str">
        <f>F5</f>
        <v>Budget revisé 2020  (budget en USD)
UNDP</v>
      </c>
      <c r="G66" s="178" t="str">
        <f>G5</f>
        <v>Budget revisé 2021 (budget en USD)
UNDP</v>
      </c>
      <c r="H66" s="129" t="s">
        <v>11</v>
      </c>
      <c r="I66" s="130" t="s">
        <v>9</v>
      </c>
      <c r="J66" s="118"/>
      <c r="K66" s="38"/>
      <c r="L66" s="2"/>
      <c r="M66" s="150"/>
    </row>
    <row r="67" spans="2:13" ht="33" customHeight="1" x14ac:dyDescent="0.25">
      <c r="B67" s="2"/>
      <c r="C67" s="27" t="s">
        <v>404</v>
      </c>
      <c r="D67" s="71">
        <f>$D$62*I67</f>
        <v>1500000</v>
      </c>
      <c r="E67" s="214">
        <v>0</v>
      </c>
      <c r="F67" s="191">
        <v>0</v>
      </c>
      <c r="G67" s="181">
        <v>0</v>
      </c>
      <c r="H67" s="72">
        <f>SUM(D67:G67)</f>
        <v>1500000</v>
      </c>
      <c r="I67" s="95">
        <v>1</v>
      </c>
      <c r="J67" s="115"/>
      <c r="K67" s="139"/>
      <c r="L67" s="2"/>
      <c r="M67" s="150"/>
    </row>
    <row r="68" spans="2:13" ht="33" customHeight="1" x14ac:dyDescent="0.25">
      <c r="B68" s="396"/>
      <c r="C68" s="89" t="s">
        <v>405</v>
      </c>
      <c r="D68" s="71">
        <v>0</v>
      </c>
      <c r="E68" s="214">
        <f>+E62*I68</f>
        <v>495910.99539999996</v>
      </c>
      <c r="F68" s="191">
        <v>0</v>
      </c>
      <c r="G68" s="181">
        <v>0</v>
      </c>
      <c r="H68" s="72">
        <f t="shared" ref="H68:H72" si="8">SUM(D68:G68)</f>
        <v>495910.99539999996</v>
      </c>
      <c r="I68" s="96">
        <v>1</v>
      </c>
      <c r="J68" s="115"/>
      <c r="K68" s="139"/>
      <c r="L68" s="150"/>
      <c r="M68" s="150"/>
    </row>
    <row r="69" spans="2:13" ht="33" customHeight="1" x14ac:dyDescent="0.25">
      <c r="B69" s="396"/>
      <c r="C69" s="89" t="s">
        <v>475</v>
      </c>
      <c r="D69" s="71">
        <v>0</v>
      </c>
      <c r="E69" s="214"/>
      <c r="F69" s="191">
        <v>389478</v>
      </c>
      <c r="G69" s="181">
        <v>0</v>
      </c>
      <c r="H69" s="72">
        <f t="shared" si="8"/>
        <v>389478</v>
      </c>
      <c r="I69" s="97">
        <v>0.7</v>
      </c>
      <c r="J69" s="115"/>
      <c r="K69" s="139"/>
      <c r="L69" s="150"/>
      <c r="M69" s="150"/>
    </row>
    <row r="70" spans="2:13" ht="33" customHeight="1" x14ac:dyDescent="0.25">
      <c r="B70" s="396"/>
      <c r="C70" s="89" t="s">
        <v>474</v>
      </c>
      <c r="D70" s="71">
        <v>0</v>
      </c>
      <c r="E70" s="214"/>
      <c r="F70" s="191">
        <v>169926</v>
      </c>
      <c r="G70" s="181">
        <v>0</v>
      </c>
      <c r="H70" s="72">
        <f t="shared" si="8"/>
        <v>169926</v>
      </c>
      <c r="I70" s="97">
        <v>0.3</v>
      </c>
      <c r="J70" s="115"/>
      <c r="K70" s="139"/>
      <c r="L70" s="150"/>
      <c r="M70" s="150"/>
    </row>
    <row r="71" spans="2:13" ht="33" customHeight="1" x14ac:dyDescent="0.25">
      <c r="B71" s="396"/>
      <c r="C71" s="89" t="s">
        <v>478</v>
      </c>
      <c r="D71" s="71">
        <v>0</v>
      </c>
      <c r="E71" s="214"/>
      <c r="F71" s="191">
        <v>0</v>
      </c>
      <c r="G71" s="181">
        <f>$G$62*I71</f>
        <v>372442.54207645642</v>
      </c>
      <c r="H71" s="72">
        <f t="shared" si="8"/>
        <v>372442.54207645642</v>
      </c>
      <c r="I71" s="97">
        <v>0.7</v>
      </c>
      <c r="J71" s="115"/>
      <c r="K71" s="139"/>
      <c r="L71" s="150"/>
      <c r="M71" s="150"/>
    </row>
    <row r="72" spans="2:13" ht="33" customHeight="1" x14ac:dyDescent="0.25">
      <c r="B72" s="396"/>
      <c r="C72" s="89" t="s">
        <v>479</v>
      </c>
      <c r="D72" s="71">
        <v>0</v>
      </c>
      <c r="E72" s="214"/>
      <c r="F72" s="191">
        <v>0</v>
      </c>
      <c r="G72" s="181">
        <f>$G$62*I72</f>
        <v>159618.23231848134</v>
      </c>
      <c r="H72" s="72">
        <f t="shared" si="8"/>
        <v>159618.23231848134</v>
      </c>
      <c r="I72" s="97">
        <v>0.3</v>
      </c>
      <c r="J72" s="119"/>
      <c r="K72" s="140"/>
      <c r="L72" s="150"/>
      <c r="M72" s="150"/>
    </row>
    <row r="73" spans="2:13" ht="38.25" customHeight="1" thickBot="1" x14ac:dyDescent="0.3">
      <c r="B73" s="396"/>
      <c r="C73" s="28" t="s">
        <v>11</v>
      </c>
      <c r="D73" s="73">
        <f t="shared" ref="D73:H73" si="9">SUM(D67:D72)</f>
        <v>1500000</v>
      </c>
      <c r="E73" s="201">
        <f t="shared" si="9"/>
        <v>495910.99539999996</v>
      </c>
      <c r="F73" s="184">
        <f t="shared" si="9"/>
        <v>559404</v>
      </c>
      <c r="G73" s="180">
        <f t="shared" si="9"/>
        <v>532060.77439493779</v>
      </c>
      <c r="H73" s="73">
        <f t="shared" si="9"/>
        <v>3087375.7697949377</v>
      </c>
      <c r="I73" s="74"/>
      <c r="J73" s="120"/>
      <c r="K73" s="35"/>
      <c r="L73" s="150"/>
      <c r="M73" s="150"/>
    </row>
    <row r="74" spans="2:13" ht="21.75" customHeight="1" thickBot="1" x14ac:dyDescent="0.3">
      <c r="B74" s="396"/>
      <c r="C74" s="3"/>
      <c r="D74" s="204"/>
      <c r="E74" s="204"/>
      <c r="F74" s="204"/>
      <c r="G74" s="7"/>
      <c r="H74" s="7"/>
      <c r="I74" s="7"/>
      <c r="J74" s="121"/>
      <c r="K74" s="121"/>
      <c r="L74" s="150"/>
      <c r="M74" s="150"/>
    </row>
    <row r="75" spans="2:13" ht="49.5" customHeight="1" x14ac:dyDescent="0.25">
      <c r="B75" s="396"/>
      <c r="C75" s="75" t="s">
        <v>440</v>
      </c>
      <c r="D75" s="76"/>
      <c r="E75" s="205"/>
      <c r="F75" s="31"/>
      <c r="G75" s="31"/>
      <c r="H75" s="31"/>
      <c r="I75" s="123" t="s">
        <v>442</v>
      </c>
      <c r="J75" s="124">
        <f>+J62</f>
        <v>2741028.04</v>
      </c>
      <c r="L75" s="288"/>
      <c r="M75" s="150"/>
    </row>
    <row r="76" spans="2:13" ht="28.5" customHeight="1" thickBot="1" x14ac:dyDescent="0.3">
      <c r="B76" s="396"/>
      <c r="C76" s="77" t="s">
        <v>406</v>
      </c>
      <c r="D76" s="159">
        <f>D75/H62</f>
        <v>0</v>
      </c>
      <c r="E76" s="205"/>
      <c r="F76" s="160"/>
      <c r="G76" s="160"/>
      <c r="H76" s="160"/>
      <c r="I76" s="161" t="s">
        <v>443</v>
      </c>
      <c r="J76" s="377">
        <f>+J75/H62</f>
        <v>0.8878180827939558</v>
      </c>
      <c r="K76" s="162"/>
      <c r="L76" s="150"/>
      <c r="M76" s="150"/>
    </row>
    <row r="77" spans="2:13" ht="28.5" customHeight="1" x14ac:dyDescent="0.25">
      <c r="B77" s="396"/>
      <c r="C77" s="403"/>
      <c r="D77" s="404"/>
      <c r="E77" s="206"/>
      <c r="F77" s="33"/>
      <c r="G77" s="33"/>
      <c r="H77" s="33"/>
      <c r="L77" s="150"/>
      <c r="M77" s="150"/>
    </row>
    <row r="78" spans="2:13" ht="28.5" customHeight="1" x14ac:dyDescent="0.25">
      <c r="B78" s="396"/>
      <c r="C78" s="77" t="s">
        <v>441</v>
      </c>
      <c r="D78" s="163">
        <f>SUM(D48:G49)*1.07</f>
        <v>0</v>
      </c>
      <c r="E78" s="207"/>
      <c r="F78" s="164"/>
      <c r="G78" s="164"/>
      <c r="H78" s="164"/>
      <c r="L78" s="150"/>
      <c r="M78" s="150"/>
    </row>
    <row r="79" spans="2:13" ht="23.25" customHeight="1" x14ac:dyDescent="0.25">
      <c r="B79" s="396"/>
      <c r="C79" s="77" t="s">
        <v>407</v>
      </c>
      <c r="D79" s="159">
        <f>D78/H62</f>
        <v>0</v>
      </c>
      <c r="E79" s="205"/>
      <c r="F79" s="164"/>
      <c r="G79" s="164"/>
      <c r="H79" s="164"/>
      <c r="L79" s="150"/>
      <c r="M79" s="150"/>
    </row>
    <row r="80" spans="2:13" ht="66.75" customHeight="1" thickBot="1" x14ac:dyDescent="0.3">
      <c r="B80" s="396"/>
      <c r="C80" s="401" t="s">
        <v>431</v>
      </c>
      <c r="D80" s="402"/>
      <c r="E80" s="208"/>
      <c r="F80" s="33"/>
      <c r="G80" s="32"/>
      <c r="H80" s="32"/>
      <c r="I80" s="150"/>
      <c r="J80" s="133"/>
      <c r="L80" s="150"/>
      <c r="M80" s="150"/>
    </row>
    <row r="81" spans="1:13" ht="55.5" customHeight="1" x14ac:dyDescent="0.25">
      <c r="B81" s="396"/>
      <c r="M81" s="151"/>
    </row>
    <row r="82" spans="1:13" ht="42.75" customHeight="1" x14ac:dyDescent="0.25">
      <c r="B82" s="396"/>
      <c r="L82" s="150"/>
    </row>
    <row r="83" spans="1:13" ht="21.75" customHeight="1" x14ac:dyDescent="0.25">
      <c r="B83" s="396"/>
      <c r="L83" s="150"/>
    </row>
    <row r="84" spans="1:13" ht="21.75" customHeight="1" x14ac:dyDescent="0.25">
      <c r="A84" s="150"/>
      <c r="B84" s="396"/>
    </row>
    <row r="85" spans="1:13" s="150" customFormat="1" ht="23.25" customHeight="1" x14ac:dyDescent="0.25">
      <c r="A85" s="142"/>
      <c r="B85" s="396"/>
      <c r="C85" s="142"/>
      <c r="D85" s="142"/>
      <c r="E85" s="142"/>
      <c r="F85" s="173"/>
      <c r="G85" s="142"/>
      <c r="H85" s="142"/>
      <c r="I85" s="142"/>
      <c r="J85" s="158"/>
      <c r="K85" s="133"/>
      <c r="L85" s="142"/>
      <c r="M85" s="142"/>
    </row>
    <row r="86" spans="1:13" ht="23.25" customHeight="1" x14ac:dyDescent="0.25"/>
    <row r="87" spans="1:13" ht="21.75" customHeight="1" x14ac:dyDescent="0.25"/>
    <row r="88" spans="1:13" ht="16.5" customHeight="1" x14ac:dyDescent="0.25"/>
    <row r="89" spans="1:13" ht="29.25" customHeight="1" x14ac:dyDescent="0.25"/>
    <row r="90" spans="1:13" ht="24.75" customHeight="1" x14ac:dyDescent="0.25"/>
    <row r="91" spans="1:13" ht="33" customHeight="1" x14ac:dyDescent="0.25"/>
    <row r="93" spans="1:13" ht="15" customHeight="1" x14ac:dyDescent="0.25"/>
    <row r="94" spans="1:13" ht="25.5" customHeight="1" x14ac:dyDescent="0.25"/>
    <row r="145" spans="1:1" x14ac:dyDescent="0.25">
      <c r="A145" s="142" t="s">
        <v>438</v>
      </c>
    </row>
  </sheetData>
  <sheetProtection formatCells="0" formatColumns="0" formatRows="0"/>
  <mergeCells count="18">
    <mergeCell ref="J58:J59"/>
    <mergeCell ref="B68:B85"/>
    <mergeCell ref="C65:I65"/>
    <mergeCell ref="C80:D80"/>
    <mergeCell ref="C77:D77"/>
    <mergeCell ref="C58:H58"/>
    <mergeCell ref="B2:F2"/>
    <mergeCell ref="B3:I3"/>
    <mergeCell ref="C13:L13"/>
    <mergeCell ref="C7:L7"/>
    <mergeCell ref="C18:L18"/>
    <mergeCell ref="B42:G42"/>
    <mergeCell ref="B44:G44"/>
    <mergeCell ref="C34:L34"/>
    <mergeCell ref="C6:L6"/>
    <mergeCell ref="C28:L28"/>
    <mergeCell ref="C29:L29"/>
    <mergeCell ref="B26:G26"/>
  </mergeCells>
  <conditionalFormatting sqref="D76">
    <cfRule type="cellIs" dxfId="8" priority="46" operator="lessThan">
      <formula>0.15</formula>
    </cfRule>
  </conditionalFormatting>
  <conditionalFormatting sqref="D79">
    <cfRule type="cellIs" dxfId="7" priority="44" operator="lessThan">
      <formula>0.05</formula>
    </cfRule>
  </conditionalFormatting>
  <conditionalFormatting sqref="I73:K73">
    <cfRule type="cellIs" dxfId="6" priority="1" operator="greaterThan">
      <formula>1</formula>
    </cfRule>
  </conditionalFormatting>
  <dataValidations xWindow="431" yWindow="475" count="6">
    <dataValidation allowBlank="1" showInputMessage="1" showErrorMessage="1" prompt="% Towards Gender Equality and Women's Empowerment Must be Higher than 15%_x000a_" sqref="G76:H76" xr:uid="{E72508C7-C8DD-46A5-878C-E4FA07CAB6AF}"/>
    <dataValidation allowBlank="1" showInputMessage="1" showErrorMessage="1" prompt="M&amp;E Budget Cannot be Less than 5%_x000a_" sqref="F79:H79" xr:uid="{53928C0A-D548-4B6B-97FC-07D38B0E5FA7}"/>
    <dataValidation allowBlank="1" showInputMessage="1" showErrorMessage="1" prompt="Insert *text* description of Outcome here" sqref="C6:L6 C28:L28" xr:uid="{89ACADD6-F982-42D9-AC8D-CCF9750605B2}"/>
    <dataValidation allowBlank="1" showInputMessage="1" showErrorMessage="1" prompt="Insert *text* description of Output here" sqref="C7 C13 C18 C29 C34" xr:uid="{31AC9CA6-D499-4711-A99F-BECD0A64F3A8}"/>
    <dataValidation allowBlank="1" showInputMessage="1" showErrorMessage="1" prompt="Insert *text* description of Activity here" sqref="C8 C14 C19 C30 C35" xr:uid="{E7A390F5-03DD-4A67-B842-17326B4F2DA4}"/>
    <dataValidation allowBlank="1" showErrorMessage="1" prompt="% Towards Gender Equality and Women's Empowerment Must be Higher than 15%_x000a_" sqref="D78:H78 D76:E76" xr:uid="{8C6643DA-1D03-44FB-AC1F-C4CB706ED3AA}"/>
  </dataValidations>
  <pageMargins left="0.70866141732283472" right="0.70866141732283472" top="0.74803149606299213" bottom="0.74803149606299213" header="0.31496062992125984" footer="0.31496062992125984"/>
  <pageSetup scale="40" fitToHeight="5" orientation="landscape" r:id="rId1"/>
  <rowBreaks count="1" manualBreakCount="1">
    <brk id="34" max="16383" man="1"/>
  </rowBreaks>
  <ignoredErrors>
    <ignoredError sqref="D59:G59 D66 F66:G66 E10 F9:F10 F14 F16 E20:E22 F20:F24 E31:F31 E30 J8:J9 J60:J61 J62 J36 J39 J10:J11 J20" unlockedFormula="1"/>
    <ignoredError sqref="F61:F62 H39 I17 I33 I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L85"/>
  <sheetViews>
    <sheetView showGridLines="0" showZeros="0" tabSelected="1" topLeftCell="F1" zoomScale="80" zoomScaleNormal="80" workbookViewId="0">
      <pane ySplit="4" topLeftCell="A65" activePane="bottomLeft" state="frozen"/>
      <selection pane="bottomLeft" activeCell="I68" sqref="I68"/>
    </sheetView>
  </sheetViews>
  <sheetFormatPr baseColWidth="10" defaultColWidth="9.140625" defaultRowHeight="15.75" x14ac:dyDescent="0.25"/>
  <cols>
    <col min="1" max="1" width="4.42578125" style="294" customWidth="1"/>
    <col min="2" max="2" width="3.28515625" style="294" customWidth="1"/>
    <col min="3" max="3" width="48.140625" style="294" customWidth="1"/>
    <col min="4" max="4" width="16.85546875" style="12" customWidth="1"/>
    <col min="5" max="5" width="18.28515625" style="12" customWidth="1"/>
    <col min="6" max="6" width="19.42578125" style="12" customWidth="1"/>
    <col min="7" max="7" width="20.140625" style="12" customWidth="1"/>
    <col min="8" max="8" width="18.5703125" style="294" customWidth="1"/>
    <col min="9" max="9" width="16.85546875" style="296" customWidth="1"/>
    <col min="10" max="10" width="15.140625" style="296" bestFit="1" customWidth="1"/>
    <col min="11" max="11" width="15.42578125" style="294" customWidth="1"/>
    <col min="12" max="12" width="10.5703125" style="294" bestFit="1" customWidth="1"/>
    <col min="13" max="16384" width="9.140625" style="294"/>
  </cols>
  <sheetData>
    <row r="1" spans="2:10" ht="33.75" customHeight="1" x14ac:dyDescent="0.25">
      <c r="C1" s="391" t="s">
        <v>538</v>
      </c>
      <c r="D1" s="391"/>
      <c r="E1" s="391"/>
      <c r="F1" s="391"/>
      <c r="G1" s="391"/>
      <c r="H1" s="143"/>
      <c r="I1" s="295"/>
    </row>
    <row r="2" spans="2:10" ht="25.5" customHeight="1" x14ac:dyDescent="0.25">
      <c r="C2" s="415" t="s">
        <v>432</v>
      </c>
      <c r="D2" s="415"/>
      <c r="E2" s="415"/>
      <c r="F2" s="415"/>
      <c r="G2" s="415"/>
    </row>
    <row r="3" spans="2:10" ht="9.75" customHeight="1" thickBot="1" x14ac:dyDescent="0.3">
      <c r="C3" s="297"/>
      <c r="D3" s="297"/>
      <c r="E3" s="297"/>
      <c r="F3" s="297"/>
      <c r="G3" s="297"/>
    </row>
    <row r="4" spans="2:10" ht="55.5" customHeight="1" x14ac:dyDescent="0.25">
      <c r="B4" s="298"/>
      <c r="C4" s="299"/>
      <c r="D4" s="266" t="str">
        <f>'1) Tableau budgétaire 1'!D5</f>
        <v>Budget initial  
(Budget en USD)
UNDP</v>
      </c>
      <c r="E4" s="267" t="s">
        <v>480</v>
      </c>
      <c r="F4" s="268" t="str">
        <f>'1) Tableau budgétaire 1'!F5</f>
        <v>Budget revisé 2020  (budget en USD)
UNDP</v>
      </c>
      <c r="G4" s="273" t="str">
        <f>'1) Tableau budgétaire 1'!G5</f>
        <v>Budget revisé 2021 (budget en USD)
UNDP</v>
      </c>
      <c r="H4" s="269" t="s">
        <v>11</v>
      </c>
      <c r="I4" s="281" t="s">
        <v>532</v>
      </c>
    </row>
    <row r="5" spans="2:10" ht="24" customHeight="1" x14ac:dyDescent="0.25">
      <c r="B5" s="408" t="s">
        <v>409</v>
      </c>
      <c r="C5" s="409"/>
      <c r="D5" s="409"/>
      <c r="E5" s="409"/>
      <c r="F5" s="409"/>
      <c r="G5" s="409"/>
      <c r="H5" s="409"/>
      <c r="I5" s="410"/>
    </row>
    <row r="6" spans="2:10" ht="22.5" customHeight="1" x14ac:dyDescent="0.25">
      <c r="B6" s="300"/>
      <c r="C6" s="411" t="s">
        <v>410</v>
      </c>
      <c r="D6" s="409"/>
      <c r="E6" s="409"/>
      <c r="F6" s="409"/>
      <c r="G6" s="409"/>
      <c r="H6" s="409"/>
      <c r="I6" s="410"/>
    </row>
    <row r="7" spans="2:10" ht="24.75" customHeight="1" thickBot="1" x14ac:dyDescent="0.3">
      <c r="B7" s="300"/>
      <c r="C7" s="301" t="s">
        <v>411</v>
      </c>
      <c r="D7" s="302">
        <f>'1) Tableau budgétaire 1'!D12</f>
        <v>966800</v>
      </c>
      <c r="E7" s="303">
        <f>'1) Tableau budgétaire 1'!E12</f>
        <v>317797</v>
      </c>
      <c r="F7" s="245">
        <f>'1) Tableau budgétaire 1'!F12</f>
        <v>267410</v>
      </c>
      <c r="G7" s="304">
        <f>'1) Tableau budgétaire 1'!G12</f>
        <v>215603.14</v>
      </c>
      <c r="H7" s="305">
        <f>SUM(D7:G7)</f>
        <v>1767610.1400000001</v>
      </c>
      <c r="I7" s="306">
        <f>I15</f>
        <v>1748056.4799999997</v>
      </c>
    </row>
    <row r="8" spans="2:10" ht="21.75" customHeight="1" x14ac:dyDescent="0.25">
      <c r="B8" s="300"/>
      <c r="C8" s="42" t="s">
        <v>412</v>
      </c>
      <c r="D8" s="307">
        <f>+'1) Tableau budgétaire 1'!D8</f>
        <v>789000</v>
      </c>
      <c r="E8" s="308">
        <f>+'1) Tableau budgétaire 1'!E8</f>
        <v>183639</v>
      </c>
      <c r="F8" s="258">
        <v>0</v>
      </c>
      <c r="G8" s="274">
        <v>67049.78</v>
      </c>
      <c r="H8" s="309">
        <f t="shared" ref="H8:H15" si="0">SUM(D8:G8)</f>
        <v>1039688.78</v>
      </c>
      <c r="I8" s="310">
        <f>IFR!J15</f>
        <v>1171819.1599999999</v>
      </c>
    </row>
    <row r="9" spans="2:10" x14ac:dyDescent="0.25">
      <c r="B9" s="300"/>
      <c r="C9" s="39" t="s">
        <v>413</v>
      </c>
      <c r="D9" s="311">
        <v>30800</v>
      </c>
      <c r="E9" s="308">
        <v>1000</v>
      </c>
      <c r="F9" s="188">
        <v>0</v>
      </c>
      <c r="G9" s="275">
        <v>10000</v>
      </c>
      <c r="H9" s="312">
        <f t="shared" si="0"/>
        <v>41800</v>
      </c>
      <c r="I9" s="313">
        <f>IFR!J16</f>
        <v>15765.68</v>
      </c>
    </row>
    <row r="10" spans="2:10" ht="15.75" customHeight="1" x14ac:dyDescent="0.25">
      <c r="B10" s="300"/>
      <c r="C10" s="39" t="s">
        <v>414</v>
      </c>
      <c r="D10" s="311">
        <v>45000</v>
      </c>
      <c r="E10" s="308">
        <v>6158</v>
      </c>
      <c r="F10" s="188">
        <f>116158-D10-E10</f>
        <v>65000</v>
      </c>
      <c r="G10" s="314">
        <v>15000</v>
      </c>
      <c r="H10" s="312">
        <f t="shared" si="0"/>
        <v>131158</v>
      </c>
      <c r="I10" s="313">
        <f>IFR!J17</f>
        <v>73245.149999999994</v>
      </c>
    </row>
    <row r="11" spans="2:10" x14ac:dyDescent="0.25">
      <c r="B11" s="300"/>
      <c r="C11" s="40" t="s">
        <v>415</v>
      </c>
      <c r="D11" s="311">
        <v>0</v>
      </c>
      <c r="E11" s="308">
        <v>0</v>
      </c>
      <c r="F11" s="188">
        <v>0</v>
      </c>
      <c r="G11" s="314">
        <v>0</v>
      </c>
      <c r="H11" s="312">
        <f t="shared" si="0"/>
        <v>0</v>
      </c>
      <c r="I11" s="313">
        <f>93461+7574.64+37317.19+8159.36</f>
        <v>146512.19</v>
      </c>
    </row>
    <row r="12" spans="2:10" x14ac:dyDescent="0.25">
      <c r="B12" s="300"/>
      <c r="C12" s="39" t="s">
        <v>416</v>
      </c>
      <c r="D12" s="311">
        <v>27000</v>
      </c>
      <c r="E12" s="308">
        <f>(47000-D12)+45000</f>
        <v>65000</v>
      </c>
      <c r="F12" s="188">
        <v>0</v>
      </c>
      <c r="G12" s="314">
        <v>28000</v>
      </c>
      <c r="H12" s="312">
        <f t="shared" si="0"/>
        <v>120000</v>
      </c>
      <c r="I12" s="313">
        <f>+'1) Tableau budgétaire 1'!J11</f>
        <v>46992.480000000003</v>
      </c>
    </row>
    <row r="13" spans="2:10" ht="32.25" customHeight="1" x14ac:dyDescent="0.25">
      <c r="B13" s="300"/>
      <c r="C13" s="39" t="s">
        <v>417</v>
      </c>
      <c r="D13" s="311">
        <v>0</v>
      </c>
      <c r="E13" s="308">
        <v>0</v>
      </c>
      <c r="F13" s="188">
        <v>0</v>
      </c>
      <c r="G13" s="314">
        <v>0</v>
      </c>
      <c r="H13" s="312">
        <f t="shared" si="0"/>
        <v>0</v>
      </c>
      <c r="I13" s="313">
        <v>572.58000000000004</v>
      </c>
    </row>
    <row r="14" spans="2:10" ht="36.75" customHeight="1" x14ac:dyDescent="0.25">
      <c r="B14" s="300"/>
      <c r="C14" s="39" t="s">
        <v>418</v>
      </c>
      <c r="D14" s="311">
        <v>75000</v>
      </c>
      <c r="E14" s="308">
        <f>137000-D14</f>
        <v>62000</v>
      </c>
      <c r="F14" s="188">
        <f>339410-D14-E14</f>
        <v>202410</v>
      </c>
      <c r="G14" s="314">
        <v>95553.36</v>
      </c>
      <c r="H14" s="312">
        <f t="shared" si="0"/>
        <v>434963.36</v>
      </c>
      <c r="I14" s="313">
        <f>262355.06-572.58+31237.47+129.29</f>
        <v>293149.24</v>
      </c>
    </row>
    <row r="15" spans="2:10" ht="15.75" customHeight="1" x14ac:dyDescent="0.25">
      <c r="B15" s="300"/>
      <c r="C15" s="94" t="s">
        <v>14</v>
      </c>
      <c r="D15" s="315">
        <f>SUM(D8:D14)</f>
        <v>966800</v>
      </c>
      <c r="E15" s="316">
        <f>SUM(E8:E14)</f>
        <v>317797</v>
      </c>
      <c r="F15" s="188">
        <f t="shared" ref="F15:G15" si="1">SUM(F8:F14)</f>
        <v>267410</v>
      </c>
      <c r="G15" s="317">
        <f t="shared" si="1"/>
        <v>215603.14</v>
      </c>
      <c r="H15" s="312">
        <f t="shared" si="0"/>
        <v>1767610.1400000001</v>
      </c>
      <c r="I15" s="318">
        <f>SUM(I8:I14)</f>
        <v>1748056.4799999997</v>
      </c>
    </row>
    <row r="16" spans="2:10" s="12" customFormat="1" x14ac:dyDescent="0.25">
      <c r="B16" s="319"/>
      <c r="C16" s="320"/>
      <c r="D16" s="321"/>
      <c r="E16" s="321"/>
      <c r="F16" s="321"/>
      <c r="G16" s="321"/>
      <c r="H16" s="416"/>
      <c r="I16" s="417"/>
      <c r="J16" s="322"/>
    </row>
    <row r="17" spans="2:11" x14ac:dyDescent="0.25">
      <c r="B17" s="300"/>
      <c r="C17" s="411" t="s">
        <v>419</v>
      </c>
      <c r="D17" s="409"/>
      <c r="E17" s="409"/>
      <c r="F17" s="409"/>
      <c r="G17" s="409"/>
      <c r="H17" s="409"/>
      <c r="I17" s="410"/>
    </row>
    <row r="18" spans="2:11" ht="27" customHeight="1" thickBot="1" x14ac:dyDescent="0.3">
      <c r="B18" s="300"/>
      <c r="C18" s="301" t="s">
        <v>420</v>
      </c>
      <c r="D18" s="302">
        <f>'1) Tableau budgétaire 1'!D17</f>
        <v>65600</v>
      </c>
      <c r="E18" s="303">
        <f>'1) Tableau budgétaire 1'!E17</f>
        <v>21000</v>
      </c>
      <c r="F18" s="245">
        <f>'1) Tableau budgétaire 1'!F17</f>
        <v>35782.240000000005</v>
      </c>
      <c r="G18" s="304">
        <f>'1) Tableau budgétaire 1'!G17</f>
        <v>75427.63</v>
      </c>
      <c r="H18" s="305">
        <f t="shared" ref="H18:H26" si="2">SUM(D18:G18)</f>
        <v>197809.87</v>
      </c>
      <c r="I18" s="306">
        <f>+I26</f>
        <v>216476.81</v>
      </c>
    </row>
    <row r="19" spans="2:11" x14ac:dyDescent="0.25">
      <c r="B19" s="300"/>
      <c r="C19" s="42" t="s">
        <v>412</v>
      </c>
      <c r="D19" s="307">
        <v>0</v>
      </c>
      <c r="E19" s="323">
        <v>0</v>
      </c>
      <c r="F19" s="258"/>
      <c r="G19" s="274">
        <v>0</v>
      </c>
      <c r="H19" s="309">
        <f t="shared" si="2"/>
        <v>0</v>
      </c>
      <c r="I19" s="310">
        <v>0</v>
      </c>
      <c r="K19" s="324"/>
    </row>
    <row r="20" spans="2:11" x14ac:dyDescent="0.25">
      <c r="B20" s="300"/>
      <c r="C20" s="39" t="s">
        <v>413</v>
      </c>
      <c r="D20" s="311">
        <v>600</v>
      </c>
      <c r="E20" s="308">
        <v>0</v>
      </c>
      <c r="F20" s="188"/>
      <c r="G20" s="275">
        <v>0</v>
      </c>
      <c r="H20" s="312">
        <f t="shared" si="2"/>
        <v>600</v>
      </c>
      <c r="I20" s="313">
        <v>0</v>
      </c>
    </row>
    <row r="21" spans="2:11" ht="31.5" x14ac:dyDescent="0.25">
      <c r="B21" s="300"/>
      <c r="C21" s="39" t="s">
        <v>414</v>
      </c>
      <c r="D21" s="311"/>
      <c r="E21" s="308">
        <v>0</v>
      </c>
      <c r="F21" s="188"/>
      <c r="G21" s="314">
        <v>0</v>
      </c>
      <c r="H21" s="312">
        <f t="shared" si="2"/>
        <v>0</v>
      </c>
      <c r="I21" s="313">
        <v>0</v>
      </c>
    </row>
    <row r="22" spans="2:11" x14ac:dyDescent="0.25">
      <c r="B22" s="300"/>
      <c r="C22" s="40" t="s">
        <v>415</v>
      </c>
      <c r="D22" s="311">
        <v>49000</v>
      </c>
      <c r="E22" s="308">
        <v>0</v>
      </c>
      <c r="F22" s="188">
        <v>35782.239999999998</v>
      </c>
      <c r="G22" s="314">
        <v>0</v>
      </c>
      <c r="H22" s="312">
        <f t="shared" si="2"/>
        <v>84782.239999999991</v>
      </c>
      <c r="I22" s="313">
        <f>'1) Tableau budgétaire 1'!J15</f>
        <v>83342.47</v>
      </c>
    </row>
    <row r="23" spans="2:11" x14ac:dyDescent="0.25">
      <c r="B23" s="300"/>
      <c r="C23" s="39" t="s">
        <v>416</v>
      </c>
      <c r="D23" s="311">
        <v>16000</v>
      </c>
      <c r="E23" s="308">
        <v>21000</v>
      </c>
      <c r="F23" s="188">
        <v>0</v>
      </c>
      <c r="G23" s="314">
        <v>60290.54358763191</v>
      </c>
      <c r="H23" s="312">
        <f t="shared" si="2"/>
        <v>97290.54358763191</v>
      </c>
      <c r="I23" s="313">
        <f>+'1) Tableau budgétaire 1'!J14</f>
        <v>88115.32</v>
      </c>
    </row>
    <row r="24" spans="2:11" x14ac:dyDescent="0.25">
      <c r="B24" s="300"/>
      <c r="C24" s="39" t="s">
        <v>417</v>
      </c>
      <c r="D24" s="311"/>
      <c r="E24" s="308">
        <v>0</v>
      </c>
      <c r="F24" s="188"/>
      <c r="G24" s="314">
        <v>0</v>
      </c>
      <c r="H24" s="312">
        <f t="shared" si="2"/>
        <v>0</v>
      </c>
      <c r="I24" s="313">
        <v>0</v>
      </c>
    </row>
    <row r="25" spans="2:11" ht="31.5" x14ac:dyDescent="0.25">
      <c r="B25" s="300"/>
      <c r="C25" s="39" t="s">
        <v>418</v>
      </c>
      <c r="D25" s="311">
        <v>0</v>
      </c>
      <c r="E25" s="308">
        <v>0</v>
      </c>
      <c r="F25" s="188"/>
      <c r="G25" s="314">
        <v>15137.086594552931</v>
      </c>
      <c r="H25" s="312">
        <f t="shared" si="2"/>
        <v>15137.086594552931</v>
      </c>
      <c r="I25" s="313">
        <f>'1) Tableau budgétaire 1'!J16</f>
        <v>45019.02</v>
      </c>
    </row>
    <row r="26" spans="2:11" x14ac:dyDescent="0.25">
      <c r="B26" s="300"/>
      <c r="C26" s="94" t="s">
        <v>14</v>
      </c>
      <c r="D26" s="315">
        <f>SUM(D19:D25)</f>
        <v>65600</v>
      </c>
      <c r="E26" s="316">
        <f t="shared" ref="E26:G26" si="3">SUM(E19:E25)</f>
        <v>21000</v>
      </c>
      <c r="F26" s="188">
        <f t="shared" si="3"/>
        <v>35782.239999999998</v>
      </c>
      <c r="G26" s="317">
        <f t="shared" si="3"/>
        <v>75427.630182184846</v>
      </c>
      <c r="H26" s="325">
        <f t="shared" si="2"/>
        <v>197809.87018218485</v>
      </c>
      <c r="I26" s="318">
        <f>SUM(I19:I25)</f>
        <v>216476.81</v>
      </c>
    </row>
    <row r="27" spans="2:11" s="12" customFormat="1" x14ac:dyDescent="0.25">
      <c r="B27" s="319"/>
      <c r="C27" s="320"/>
      <c r="D27" s="321"/>
      <c r="E27" s="321"/>
      <c r="F27" s="321"/>
      <c r="G27" s="321"/>
      <c r="H27" s="416"/>
      <c r="I27" s="417"/>
      <c r="J27" s="322"/>
    </row>
    <row r="28" spans="2:11" x14ac:dyDescent="0.25">
      <c r="B28" s="300"/>
      <c r="C28" s="411" t="s">
        <v>421</v>
      </c>
      <c r="D28" s="409"/>
      <c r="E28" s="409"/>
      <c r="F28" s="409"/>
      <c r="G28" s="409"/>
      <c r="H28" s="409"/>
      <c r="I28" s="410"/>
    </row>
    <row r="29" spans="2:11" ht="21.75" customHeight="1" thickBot="1" x14ac:dyDescent="0.3">
      <c r="B29" s="300"/>
      <c r="C29" s="301" t="s">
        <v>422</v>
      </c>
      <c r="D29" s="302">
        <f>'1) Tableau budgétaire 1'!D25</f>
        <v>296970</v>
      </c>
      <c r="E29" s="303">
        <f>'1) Tableau budgétaire 1'!E25</f>
        <v>85970</v>
      </c>
      <c r="F29" s="245">
        <f>'1) Tableau budgétaire 1'!F25</f>
        <v>156073</v>
      </c>
      <c r="G29" s="304">
        <f>'1) Tableau budgétaire 1'!G25</f>
        <v>50100</v>
      </c>
      <c r="H29" s="305">
        <f t="shared" ref="H29:H37" si="4">SUM(D29:G29)</f>
        <v>589113</v>
      </c>
      <c r="I29" s="306">
        <f>+I37</f>
        <v>490839.54000000004</v>
      </c>
    </row>
    <row r="30" spans="2:11" x14ac:dyDescent="0.25">
      <c r="B30" s="300"/>
      <c r="C30" s="42" t="s">
        <v>412</v>
      </c>
      <c r="D30" s="307">
        <v>0</v>
      </c>
      <c r="E30" s="323">
        <v>0</v>
      </c>
      <c r="F30" s="258"/>
      <c r="G30" s="274">
        <v>0</v>
      </c>
      <c r="H30" s="309">
        <f t="shared" si="4"/>
        <v>0</v>
      </c>
      <c r="I30" s="310">
        <v>0</v>
      </c>
    </row>
    <row r="31" spans="2:11" s="12" customFormat="1" ht="15.75" customHeight="1" x14ac:dyDescent="0.25">
      <c r="B31" s="319"/>
      <c r="C31" s="39" t="s">
        <v>413</v>
      </c>
      <c r="D31" s="311">
        <v>6000</v>
      </c>
      <c r="E31" s="308">
        <v>0</v>
      </c>
      <c r="F31" s="188"/>
      <c r="G31" s="275">
        <v>0</v>
      </c>
      <c r="H31" s="312">
        <f t="shared" si="4"/>
        <v>6000</v>
      </c>
      <c r="I31" s="313">
        <v>0</v>
      </c>
      <c r="J31" s="322"/>
    </row>
    <row r="32" spans="2:11" s="12" customFormat="1" ht="31.5" x14ac:dyDescent="0.25">
      <c r="B32" s="319"/>
      <c r="C32" s="39" t="s">
        <v>414</v>
      </c>
      <c r="D32" s="311">
        <v>0</v>
      </c>
      <c r="E32" s="308">
        <v>0</v>
      </c>
      <c r="F32" s="188"/>
      <c r="G32" s="314">
        <v>0</v>
      </c>
      <c r="H32" s="312">
        <f t="shared" si="4"/>
        <v>0</v>
      </c>
      <c r="I32" s="313">
        <v>0</v>
      </c>
      <c r="J32" s="322"/>
    </row>
    <row r="33" spans="2:12" s="12" customFormat="1" x14ac:dyDescent="0.25">
      <c r="B33" s="319"/>
      <c r="C33" s="40" t="s">
        <v>415</v>
      </c>
      <c r="D33" s="311">
        <f>10000+232970+30000</f>
        <v>272970</v>
      </c>
      <c r="E33" s="308">
        <f>7000+(249970-232970)+61970</f>
        <v>85970</v>
      </c>
      <c r="F33" s="188">
        <f>330070-249970+43593+32380</f>
        <v>156073</v>
      </c>
      <c r="G33" s="314">
        <v>50000</v>
      </c>
      <c r="H33" s="312">
        <f t="shared" si="4"/>
        <v>565013</v>
      </c>
      <c r="I33" s="313">
        <f>'1) Tableau budgétaire 1'!J22+'1) Tableau budgétaire 1'!J24+61060.99+10508</f>
        <v>472839.54000000004</v>
      </c>
      <c r="J33" s="322"/>
    </row>
    <row r="34" spans="2:12" x14ac:dyDescent="0.25">
      <c r="B34" s="300"/>
      <c r="C34" s="39" t="s">
        <v>416</v>
      </c>
      <c r="D34" s="311">
        <v>18000</v>
      </c>
      <c r="E34" s="308">
        <v>0</v>
      </c>
      <c r="F34" s="188">
        <v>0</v>
      </c>
      <c r="G34" s="314">
        <v>0</v>
      </c>
      <c r="H34" s="312">
        <f t="shared" si="4"/>
        <v>18000</v>
      </c>
      <c r="I34" s="313">
        <v>18000</v>
      </c>
      <c r="L34" s="326"/>
    </row>
    <row r="35" spans="2:12" x14ac:dyDescent="0.25">
      <c r="B35" s="300"/>
      <c r="C35" s="39" t="s">
        <v>417</v>
      </c>
      <c r="D35" s="311">
        <v>0</v>
      </c>
      <c r="E35" s="308">
        <v>0</v>
      </c>
      <c r="F35" s="188"/>
      <c r="G35" s="314">
        <v>0</v>
      </c>
      <c r="H35" s="312">
        <f t="shared" si="4"/>
        <v>0</v>
      </c>
      <c r="I35" s="313">
        <v>0</v>
      </c>
    </row>
    <row r="36" spans="2:12" ht="31.5" x14ac:dyDescent="0.25">
      <c r="B36" s="300"/>
      <c r="C36" s="39" t="s">
        <v>418</v>
      </c>
      <c r="D36" s="311">
        <v>0</v>
      </c>
      <c r="E36" s="308">
        <v>0</v>
      </c>
      <c r="F36" s="188"/>
      <c r="G36" s="314">
        <v>100</v>
      </c>
      <c r="H36" s="312">
        <f t="shared" si="4"/>
        <v>100</v>
      </c>
      <c r="I36" s="313">
        <v>0</v>
      </c>
    </row>
    <row r="37" spans="2:12" ht="16.5" thickBot="1" x14ac:dyDescent="0.3">
      <c r="B37" s="300"/>
      <c r="C37" s="327" t="s">
        <v>14</v>
      </c>
      <c r="D37" s="328">
        <f>SUM(D30:D36)</f>
        <v>296970</v>
      </c>
      <c r="E37" s="329">
        <f t="shared" ref="E37:G37" si="5">SUM(E30:E36)</f>
        <v>85970</v>
      </c>
      <c r="F37" s="290">
        <f t="shared" si="5"/>
        <v>156073</v>
      </c>
      <c r="G37" s="330">
        <f t="shared" si="5"/>
        <v>50100</v>
      </c>
      <c r="H37" s="331">
        <f t="shared" si="4"/>
        <v>589113</v>
      </c>
      <c r="I37" s="332">
        <f>SUM(I30:I36)</f>
        <v>490839.54000000004</v>
      </c>
    </row>
    <row r="38" spans="2:12" ht="16.5" thickBot="1" x14ac:dyDescent="0.3">
      <c r="B38" s="300"/>
      <c r="C38" s="412" t="s">
        <v>533</v>
      </c>
      <c r="D38" s="413"/>
      <c r="E38" s="413"/>
      <c r="F38" s="413"/>
      <c r="G38" s="413"/>
      <c r="H38" s="414"/>
      <c r="I38" s="333">
        <f>+I15+I26+I37</f>
        <v>2455372.83</v>
      </c>
    </row>
    <row r="39" spans="2:12" s="12" customFormat="1" ht="14.25" customHeight="1" x14ac:dyDescent="0.25">
      <c r="B39" s="319"/>
      <c r="C39" s="334"/>
      <c r="D39" s="335"/>
      <c r="E39" s="335"/>
      <c r="F39" s="335"/>
      <c r="G39" s="335"/>
      <c r="H39" s="418"/>
      <c r="I39" s="419"/>
      <c r="J39" s="322"/>
    </row>
    <row r="40" spans="2:12" ht="15.75" customHeight="1" x14ac:dyDescent="0.25">
      <c r="B40" s="408" t="s">
        <v>423</v>
      </c>
      <c r="C40" s="409"/>
      <c r="D40" s="409"/>
      <c r="E40" s="409"/>
      <c r="F40" s="409"/>
      <c r="G40" s="409"/>
      <c r="H40" s="409"/>
      <c r="I40" s="410"/>
    </row>
    <row r="41" spans="2:12" x14ac:dyDescent="0.25">
      <c r="B41" s="300"/>
      <c r="C41" s="411" t="s">
        <v>383</v>
      </c>
      <c r="D41" s="409"/>
      <c r="E41" s="409"/>
      <c r="F41" s="409"/>
      <c r="G41" s="409"/>
      <c r="H41" s="409"/>
      <c r="I41" s="410"/>
    </row>
    <row r="42" spans="2:12" ht="24" customHeight="1" thickBot="1" x14ac:dyDescent="0.3">
      <c r="B42" s="300"/>
      <c r="C42" s="301" t="s">
        <v>424</v>
      </c>
      <c r="D42" s="302">
        <f>'1) Tableau budgétaire 1'!D33</f>
        <v>46800</v>
      </c>
      <c r="E42" s="303">
        <f>'1) Tableau budgétaire 1'!E33</f>
        <v>12071.22</v>
      </c>
      <c r="F42" s="245">
        <f>'1) Tableau budgétaire 1'!F33</f>
        <v>17842.240000000002</v>
      </c>
      <c r="G42" s="304">
        <f>'1) Tableau budgétaire 1'!G33</f>
        <v>78402.290000000008</v>
      </c>
      <c r="H42" s="305">
        <f>SUM(D42:G42)</f>
        <v>155115.75</v>
      </c>
      <c r="I42" s="306">
        <f>+I50</f>
        <v>50008.52</v>
      </c>
    </row>
    <row r="43" spans="2:12" ht="15.75" customHeight="1" x14ac:dyDescent="0.25">
      <c r="B43" s="300"/>
      <c r="C43" s="42" t="s">
        <v>412</v>
      </c>
      <c r="D43" s="336">
        <v>0</v>
      </c>
      <c r="E43" s="337"/>
      <c r="F43" s="258"/>
      <c r="G43" s="276"/>
      <c r="H43" s="309">
        <f t="shared" ref="H43:H50" si="6">SUM(D43:G43)</f>
        <v>0</v>
      </c>
      <c r="I43" s="310">
        <v>0</v>
      </c>
    </row>
    <row r="44" spans="2:12" ht="15.75" customHeight="1" x14ac:dyDescent="0.25">
      <c r="B44" s="300"/>
      <c r="C44" s="39" t="s">
        <v>413</v>
      </c>
      <c r="D44" s="338">
        <v>1000</v>
      </c>
      <c r="E44" s="339">
        <f>2600-D44-30</f>
        <v>1570</v>
      </c>
      <c r="F44" s="188">
        <v>0</v>
      </c>
      <c r="G44" s="277"/>
      <c r="H44" s="312">
        <f t="shared" si="6"/>
        <v>2570</v>
      </c>
      <c r="I44" s="313">
        <v>0</v>
      </c>
    </row>
    <row r="45" spans="2:12" ht="15.75" customHeight="1" x14ac:dyDescent="0.25">
      <c r="B45" s="300"/>
      <c r="C45" s="39" t="s">
        <v>414</v>
      </c>
      <c r="D45" s="338">
        <v>0</v>
      </c>
      <c r="E45" s="339"/>
      <c r="F45" s="188"/>
      <c r="G45" s="340"/>
      <c r="H45" s="312">
        <f t="shared" si="6"/>
        <v>0</v>
      </c>
      <c r="I45" s="313">
        <v>0</v>
      </c>
    </row>
    <row r="46" spans="2:12" ht="18.75" customHeight="1" x14ac:dyDescent="0.25">
      <c r="B46" s="300"/>
      <c r="C46" s="40" t="s">
        <v>415</v>
      </c>
      <c r="D46" s="338">
        <v>2330</v>
      </c>
      <c r="E46" s="339">
        <v>1500.22</v>
      </c>
      <c r="F46" s="188">
        <v>17842.240000000002</v>
      </c>
      <c r="G46" s="340">
        <f>+'[2]Draft PTA 2021'!$L$80</f>
        <v>50000</v>
      </c>
      <c r="H46" s="312">
        <f t="shared" si="6"/>
        <v>71672.460000000006</v>
      </c>
      <c r="I46" s="313">
        <v>0</v>
      </c>
    </row>
    <row r="47" spans="2:12" x14ac:dyDescent="0.25">
      <c r="B47" s="300"/>
      <c r="C47" s="39" t="s">
        <v>416</v>
      </c>
      <c r="D47" s="338">
        <f>20000+23470</f>
        <v>43470</v>
      </c>
      <c r="E47" s="339">
        <f>7667+663+671</f>
        <v>9001</v>
      </c>
      <c r="F47" s="188">
        <v>0</v>
      </c>
      <c r="G47" s="340">
        <f>+'[2]Draft PTA 2021'!$L$82</f>
        <v>27142.29</v>
      </c>
      <c r="H47" s="312">
        <f t="shared" si="6"/>
        <v>79613.290000000008</v>
      </c>
      <c r="I47" s="313">
        <v>50008.52</v>
      </c>
    </row>
    <row r="48" spans="2:12" s="12" customFormat="1" x14ac:dyDescent="0.25">
      <c r="B48" s="300"/>
      <c r="C48" s="39" t="s">
        <v>417</v>
      </c>
      <c r="D48" s="338">
        <v>0</v>
      </c>
      <c r="E48" s="339"/>
      <c r="F48" s="188"/>
      <c r="G48" s="340"/>
      <c r="H48" s="312">
        <f t="shared" si="6"/>
        <v>0</v>
      </c>
      <c r="I48" s="313">
        <v>0</v>
      </c>
      <c r="J48" s="322"/>
    </row>
    <row r="49" spans="2:10" s="12" customFormat="1" ht="31.5" x14ac:dyDescent="0.25">
      <c r="B49" s="300"/>
      <c r="C49" s="39" t="s">
        <v>418</v>
      </c>
      <c r="D49" s="338">
        <v>0</v>
      </c>
      <c r="E49" s="339"/>
      <c r="F49" s="188"/>
      <c r="G49" s="340">
        <f>+'[2]Draft PTA 2021'!$L$78+'[2]Draft PTA 2021'!$L$83</f>
        <v>1260</v>
      </c>
      <c r="H49" s="312">
        <f t="shared" si="6"/>
        <v>1260</v>
      </c>
      <c r="I49" s="313">
        <v>0</v>
      </c>
      <c r="J49" s="322"/>
    </row>
    <row r="50" spans="2:10" x14ac:dyDescent="0.25">
      <c r="B50" s="300"/>
      <c r="C50" s="94" t="s">
        <v>14</v>
      </c>
      <c r="D50" s="315">
        <f>SUM(D43:D49)</f>
        <v>46800</v>
      </c>
      <c r="E50" s="316">
        <f t="shared" ref="E50:G50" si="7">SUM(E43:E49)</f>
        <v>12071.220000000001</v>
      </c>
      <c r="F50" s="188">
        <f t="shared" si="7"/>
        <v>17842.240000000002</v>
      </c>
      <c r="G50" s="317">
        <f t="shared" si="7"/>
        <v>78402.290000000008</v>
      </c>
      <c r="H50" s="312">
        <f t="shared" si="6"/>
        <v>155115.75</v>
      </c>
      <c r="I50" s="318">
        <f>SUM(I43:I49)</f>
        <v>50008.52</v>
      </c>
    </row>
    <row r="51" spans="2:10" s="12" customFormat="1" x14ac:dyDescent="0.25">
      <c r="B51" s="319"/>
      <c r="C51" s="320"/>
      <c r="D51" s="321"/>
      <c r="E51" s="321"/>
      <c r="F51" s="321"/>
      <c r="G51" s="321"/>
      <c r="H51" s="416"/>
      <c r="I51" s="417"/>
      <c r="J51" s="322"/>
    </row>
    <row r="52" spans="2:10" x14ac:dyDescent="0.25">
      <c r="B52" s="319"/>
      <c r="C52" s="411" t="s">
        <v>387</v>
      </c>
      <c r="D52" s="409"/>
      <c r="E52" s="409"/>
      <c r="F52" s="409"/>
      <c r="G52" s="409"/>
      <c r="H52" s="409"/>
      <c r="I52" s="410"/>
    </row>
    <row r="53" spans="2:10" ht="21.75" customHeight="1" thickBot="1" x14ac:dyDescent="0.3">
      <c r="B53" s="300"/>
      <c r="C53" s="301" t="s">
        <v>425</v>
      </c>
      <c r="D53" s="302">
        <f>'1) Tableau budgétaire 1'!D41</f>
        <v>25700</v>
      </c>
      <c r="E53" s="303">
        <f>'1) Tableau budgétaire 1'!E41</f>
        <v>26630</v>
      </c>
      <c r="F53" s="245">
        <f>'1) Tableau budgétaire 1'!F41</f>
        <v>45700</v>
      </c>
      <c r="G53" s="304">
        <f>'1) Tableau budgétaire 1'!G41</f>
        <v>77720</v>
      </c>
      <c r="H53" s="305">
        <f t="shared" ref="H53:H61" si="8">SUM(D53:G53)</f>
        <v>175750</v>
      </c>
      <c r="I53" s="306">
        <f>+I61</f>
        <v>57621.04</v>
      </c>
    </row>
    <row r="54" spans="2:10" ht="15.75" customHeight="1" x14ac:dyDescent="0.25">
      <c r="B54" s="300"/>
      <c r="C54" s="42" t="s">
        <v>412</v>
      </c>
      <c r="D54" s="307">
        <v>0</v>
      </c>
      <c r="E54" s="323">
        <v>0</v>
      </c>
      <c r="F54" s="258"/>
      <c r="G54" s="278"/>
      <c r="H54" s="309">
        <f t="shared" si="8"/>
        <v>0</v>
      </c>
      <c r="I54" s="310">
        <v>0</v>
      </c>
    </row>
    <row r="55" spans="2:10" ht="15.75" customHeight="1" x14ac:dyDescent="0.25">
      <c r="B55" s="300"/>
      <c r="C55" s="39" t="s">
        <v>413</v>
      </c>
      <c r="D55" s="311">
        <v>1700</v>
      </c>
      <c r="E55" s="308">
        <v>0</v>
      </c>
      <c r="F55" s="188"/>
      <c r="G55" s="279"/>
      <c r="H55" s="312">
        <f t="shared" si="8"/>
        <v>1700</v>
      </c>
      <c r="I55" s="313">
        <v>0</v>
      </c>
    </row>
    <row r="56" spans="2:10" ht="15.75" customHeight="1" x14ac:dyDescent="0.25">
      <c r="B56" s="300"/>
      <c r="C56" s="39" t="s">
        <v>414</v>
      </c>
      <c r="D56" s="311">
        <v>0</v>
      </c>
      <c r="E56" s="308">
        <v>0</v>
      </c>
      <c r="F56" s="188"/>
      <c r="G56" s="341"/>
      <c r="H56" s="312">
        <f t="shared" si="8"/>
        <v>0</v>
      </c>
      <c r="I56" s="313">
        <v>0</v>
      </c>
    </row>
    <row r="57" spans="2:10" x14ac:dyDescent="0.25">
      <c r="B57" s="300"/>
      <c r="C57" s="40" t="s">
        <v>415</v>
      </c>
      <c r="D57" s="311">
        <v>24000</v>
      </c>
      <c r="E57" s="308">
        <f>(35630-D57)+15000</f>
        <v>26630</v>
      </c>
      <c r="F57" s="188">
        <f>(46030-35630)+(15000-2000)+10000+12000+300</f>
        <v>45700</v>
      </c>
      <c r="G57" s="341">
        <v>37500</v>
      </c>
      <c r="H57" s="312">
        <f t="shared" si="8"/>
        <v>133830</v>
      </c>
      <c r="I57" s="313">
        <f>+'1) Tableau budgétaire 1'!J36+'1) Tableau budgétaire 1'!J39</f>
        <v>57621.04</v>
      </c>
    </row>
    <row r="58" spans="2:10" x14ac:dyDescent="0.25">
      <c r="B58" s="300"/>
      <c r="C58" s="39" t="s">
        <v>416</v>
      </c>
      <c r="D58" s="311">
        <v>0</v>
      </c>
      <c r="E58" s="308">
        <v>0</v>
      </c>
      <c r="F58" s="188"/>
      <c r="G58" s="341"/>
      <c r="H58" s="312">
        <f t="shared" si="8"/>
        <v>0</v>
      </c>
      <c r="I58" s="313">
        <v>0</v>
      </c>
    </row>
    <row r="59" spans="2:10" x14ac:dyDescent="0.25">
      <c r="B59" s="300"/>
      <c r="C59" s="39" t="s">
        <v>417</v>
      </c>
      <c r="D59" s="311">
        <v>0</v>
      </c>
      <c r="E59" s="308">
        <v>0</v>
      </c>
      <c r="F59" s="188"/>
      <c r="G59" s="341"/>
      <c r="H59" s="312">
        <f t="shared" si="8"/>
        <v>0</v>
      </c>
      <c r="I59" s="313">
        <v>0</v>
      </c>
    </row>
    <row r="60" spans="2:10" ht="31.5" x14ac:dyDescent="0.25">
      <c r="B60" s="300"/>
      <c r="C60" s="39" t="s">
        <v>418</v>
      </c>
      <c r="D60" s="311">
        <v>0</v>
      </c>
      <c r="E60" s="308">
        <v>0</v>
      </c>
      <c r="F60" s="188"/>
      <c r="G60" s="341">
        <v>40220</v>
      </c>
      <c r="H60" s="312">
        <f t="shared" si="8"/>
        <v>40220</v>
      </c>
      <c r="I60" s="313">
        <v>0</v>
      </c>
    </row>
    <row r="61" spans="2:10" ht="16.5" thickBot="1" x14ac:dyDescent="0.3">
      <c r="B61" s="342"/>
      <c r="C61" s="343" t="s">
        <v>14</v>
      </c>
      <c r="D61" s="344">
        <f>SUM(D54:D60)</f>
        <v>25700</v>
      </c>
      <c r="E61" s="345">
        <f t="shared" ref="E61:G61" si="9">SUM(E54:E60)</f>
        <v>26630</v>
      </c>
      <c r="F61" s="245">
        <f t="shared" si="9"/>
        <v>45700</v>
      </c>
      <c r="G61" s="346">
        <f t="shared" si="9"/>
        <v>77720</v>
      </c>
      <c r="H61" s="305">
        <f t="shared" si="8"/>
        <v>175750</v>
      </c>
      <c r="I61" s="306">
        <f>SUM(I54:I60)</f>
        <v>57621.04</v>
      </c>
    </row>
    <row r="62" spans="2:10" s="12" customFormat="1" ht="16.5" thickBot="1" x14ac:dyDescent="0.3">
      <c r="C62" s="412" t="s">
        <v>534</v>
      </c>
      <c r="D62" s="413"/>
      <c r="E62" s="413"/>
      <c r="F62" s="413"/>
      <c r="G62" s="413"/>
      <c r="H62" s="414"/>
      <c r="I62" s="333">
        <f>+I39+I50+I61</f>
        <v>107629.56</v>
      </c>
      <c r="J62" s="322"/>
    </row>
    <row r="63" spans="2:10" s="12" customFormat="1" ht="16.5" thickBot="1" x14ac:dyDescent="0.3">
      <c r="C63" s="347"/>
      <c r="D63" s="348"/>
      <c r="E63" s="348"/>
      <c r="F63" s="348"/>
      <c r="G63" s="348"/>
      <c r="H63" s="420"/>
      <c r="I63" s="421"/>
      <c r="J63" s="322"/>
    </row>
    <row r="64" spans="2:10" s="2" customFormat="1" ht="19.5" customHeight="1" thickBot="1" x14ac:dyDescent="0.3">
      <c r="C64" s="422" t="s">
        <v>408</v>
      </c>
      <c r="D64" s="423"/>
      <c r="E64" s="423"/>
      <c r="F64" s="423"/>
      <c r="G64" s="423"/>
      <c r="H64" s="423"/>
      <c r="I64" s="424"/>
      <c r="J64" s="349"/>
    </row>
    <row r="65" spans="3:11" s="2" customFormat="1" ht="69" customHeight="1" thickBot="1" x14ac:dyDescent="0.3">
      <c r="C65" s="350"/>
      <c r="D65" s="259" t="str">
        <f>'1) Tableau budgétaire 1'!D5</f>
        <v>Budget initial  
(Budget en USD)
UNDP</v>
      </c>
      <c r="E65" s="260" t="s">
        <v>480</v>
      </c>
      <c r="F65" s="261" t="str">
        <f>'1) Tableau budgétaire 1'!F5</f>
        <v>Budget revisé 2020  (budget en USD)
UNDP</v>
      </c>
      <c r="G65" s="280" t="str">
        <f>'1) Tableau budgétaire 1'!G5</f>
        <v>Budget revisé 2021 (budget en USD)
UNDP</v>
      </c>
      <c r="H65" s="264" t="s">
        <v>408</v>
      </c>
      <c r="I65" s="282" t="s">
        <v>532</v>
      </c>
      <c r="J65" s="349"/>
    </row>
    <row r="66" spans="3:11" s="2" customFormat="1" ht="19.5" customHeight="1" x14ac:dyDescent="0.25">
      <c r="C66" s="257" t="s">
        <v>412</v>
      </c>
      <c r="D66" s="351">
        <f>SUM(D54,D43,D30,D19,D8,)</f>
        <v>789000</v>
      </c>
      <c r="E66" s="352">
        <f>SUM(E54,E43,E30,E19,E8)</f>
        <v>183639</v>
      </c>
      <c r="F66" s="258">
        <f>SUM(F54,F43,F30,F19,F8)</f>
        <v>0</v>
      </c>
      <c r="G66" s="353">
        <f>SUM(G54,G43,G30,G19,G8)</f>
        <v>67049.78</v>
      </c>
      <c r="H66" s="309">
        <f t="shared" ref="H66:H72" si="10">SUM(D66:G66)</f>
        <v>1039688.78</v>
      </c>
      <c r="I66" s="354">
        <f>SUM(I54,I43,I30,I19,I8)</f>
        <v>1171819.1599999999</v>
      </c>
      <c r="J66" s="355"/>
      <c r="K66" s="356"/>
    </row>
    <row r="67" spans="3:11" s="2" customFormat="1" ht="34.5" customHeight="1" x14ac:dyDescent="0.25">
      <c r="C67" s="99" t="s">
        <v>413</v>
      </c>
      <c r="D67" s="351">
        <f t="shared" ref="D67:D72" si="11">SUM(D55,D44,D31,D20,D9,)</f>
        <v>40100</v>
      </c>
      <c r="E67" s="352">
        <f t="shared" ref="E67:G72" si="12">SUM(E55,E44,E31,E20,E9)</f>
        <v>2570</v>
      </c>
      <c r="F67" s="258">
        <f t="shared" si="12"/>
        <v>0</v>
      </c>
      <c r="G67" s="353">
        <f t="shared" si="12"/>
        <v>10000</v>
      </c>
      <c r="H67" s="312">
        <f t="shared" si="10"/>
        <v>52670</v>
      </c>
      <c r="I67" s="357">
        <f t="shared" ref="I67:I72" si="13">SUM(I55,I44,I31,I20,I9)</f>
        <v>15765.68</v>
      </c>
      <c r="J67" s="355"/>
      <c r="K67" s="356"/>
    </row>
    <row r="68" spans="3:11" s="2" customFormat="1" ht="48" customHeight="1" x14ac:dyDescent="0.25">
      <c r="C68" s="99" t="s">
        <v>414</v>
      </c>
      <c r="D68" s="351">
        <f t="shared" si="11"/>
        <v>45000</v>
      </c>
      <c r="E68" s="352">
        <f t="shared" si="12"/>
        <v>6158</v>
      </c>
      <c r="F68" s="258">
        <f t="shared" si="12"/>
        <v>65000</v>
      </c>
      <c r="G68" s="353">
        <f t="shared" si="12"/>
        <v>15000</v>
      </c>
      <c r="H68" s="312">
        <f t="shared" si="10"/>
        <v>131158</v>
      </c>
      <c r="I68" s="357">
        <f t="shared" si="13"/>
        <v>73245.149999999994</v>
      </c>
      <c r="J68" s="355"/>
      <c r="K68" s="356"/>
    </row>
    <row r="69" spans="3:11" s="2" customFormat="1" ht="33" customHeight="1" x14ac:dyDescent="0.25">
      <c r="C69" s="100" t="s">
        <v>415</v>
      </c>
      <c r="D69" s="351">
        <f t="shared" si="11"/>
        <v>348300</v>
      </c>
      <c r="E69" s="352">
        <f t="shared" si="12"/>
        <v>114100.22</v>
      </c>
      <c r="F69" s="258">
        <f t="shared" si="12"/>
        <v>255397.47999999998</v>
      </c>
      <c r="G69" s="353">
        <f t="shared" si="12"/>
        <v>137500</v>
      </c>
      <c r="H69" s="312">
        <f t="shared" si="10"/>
        <v>855297.7</v>
      </c>
      <c r="I69" s="494">
        <f t="shared" si="13"/>
        <v>760315.24</v>
      </c>
      <c r="J69" s="375"/>
      <c r="K69" s="358"/>
    </row>
    <row r="70" spans="3:11" s="2" customFormat="1" ht="21" customHeight="1" x14ac:dyDescent="0.25">
      <c r="C70" s="99" t="s">
        <v>416</v>
      </c>
      <c r="D70" s="351">
        <f t="shared" si="11"/>
        <v>104470</v>
      </c>
      <c r="E70" s="352">
        <f t="shared" si="12"/>
        <v>95001</v>
      </c>
      <c r="F70" s="258">
        <f t="shared" si="12"/>
        <v>0</v>
      </c>
      <c r="G70" s="353">
        <f t="shared" si="12"/>
        <v>115432.8335876319</v>
      </c>
      <c r="H70" s="312">
        <f t="shared" si="10"/>
        <v>314903.83358763193</v>
      </c>
      <c r="I70" s="494">
        <f t="shared" si="13"/>
        <v>203116.32</v>
      </c>
      <c r="J70" s="375"/>
      <c r="K70" s="358"/>
    </row>
    <row r="71" spans="3:11" s="2" customFormat="1" ht="39.75" customHeight="1" x14ac:dyDescent="0.25">
      <c r="C71" s="99" t="s">
        <v>417</v>
      </c>
      <c r="D71" s="351">
        <f t="shared" si="11"/>
        <v>0</v>
      </c>
      <c r="E71" s="352">
        <f t="shared" si="12"/>
        <v>0</v>
      </c>
      <c r="F71" s="258">
        <f t="shared" si="12"/>
        <v>0</v>
      </c>
      <c r="G71" s="353">
        <f t="shared" si="12"/>
        <v>0</v>
      </c>
      <c r="H71" s="312">
        <f t="shared" si="10"/>
        <v>0</v>
      </c>
      <c r="I71" s="357">
        <f t="shared" si="13"/>
        <v>572.58000000000004</v>
      </c>
      <c r="J71" s="355"/>
      <c r="K71" s="356"/>
    </row>
    <row r="72" spans="3:11" s="2" customFormat="1" ht="39.75" customHeight="1" x14ac:dyDescent="0.25">
      <c r="C72" s="99" t="s">
        <v>418</v>
      </c>
      <c r="D72" s="351">
        <f t="shared" si="11"/>
        <v>75000</v>
      </c>
      <c r="E72" s="352">
        <f t="shared" si="12"/>
        <v>62000</v>
      </c>
      <c r="F72" s="258">
        <f t="shared" si="12"/>
        <v>202410</v>
      </c>
      <c r="G72" s="353">
        <f t="shared" si="12"/>
        <v>152270.44659455292</v>
      </c>
      <c r="H72" s="312">
        <f t="shared" si="10"/>
        <v>491680.44659455295</v>
      </c>
      <c r="I72" s="357">
        <f t="shared" si="13"/>
        <v>338168.26</v>
      </c>
      <c r="J72" s="375"/>
      <c r="K72" s="356"/>
    </row>
    <row r="73" spans="3:11" s="2" customFormat="1" ht="22.5" customHeight="1" x14ac:dyDescent="0.25">
      <c r="C73" s="263" t="s">
        <v>401</v>
      </c>
      <c r="D73" s="359">
        <f>SUM(D66:D72)</f>
        <v>1401870</v>
      </c>
      <c r="E73" s="360">
        <f>SUM(E66:E72)</f>
        <v>463468.22</v>
      </c>
      <c r="F73" s="217">
        <f>SUM(F66:F72)</f>
        <v>522807.48</v>
      </c>
      <c r="G73" s="361">
        <f>SUM(G66:G72)</f>
        <v>497253.0601821848</v>
      </c>
      <c r="H73" s="362">
        <f>SUM(D73:G73)</f>
        <v>2885398.7601821851</v>
      </c>
      <c r="I73" s="363">
        <f>SUM(I66:I72)</f>
        <v>2563002.3899999997</v>
      </c>
      <c r="J73" s="375"/>
      <c r="K73" s="358"/>
    </row>
    <row r="74" spans="3:11" s="2" customFormat="1" ht="26.25" customHeight="1" x14ac:dyDescent="0.25">
      <c r="C74" s="262" t="s">
        <v>402</v>
      </c>
      <c r="D74" s="364">
        <v>98130</v>
      </c>
      <c r="E74" s="365">
        <f>+E73*7%</f>
        <v>32442.775400000002</v>
      </c>
      <c r="F74" s="217">
        <f t="shared" ref="F74:G74" si="14">F73*0.07</f>
        <v>36596.5236</v>
      </c>
      <c r="G74" s="366">
        <f t="shared" si="14"/>
        <v>34807.714212752937</v>
      </c>
      <c r="H74" s="367">
        <f>SUM(D74:G74)</f>
        <v>201977.01321275294</v>
      </c>
      <c r="I74" s="368">
        <f>+IFR!J24</f>
        <v>178025.65</v>
      </c>
      <c r="J74" s="369"/>
      <c r="K74" s="358"/>
    </row>
    <row r="75" spans="3:11" s="2" customFormat="1" ht="23.25" customHeight="1" thickBot="1" x14ac:dyDescent="0.3">
      <c r="C75" s="370" t="s">
        <v>362</v>
      </c>
      <c r="D75" s="371">
        <f>SUM(D73:D74)</f>
        <v>1500000</v>
      </c>
      <c r="E75" s="372">
        <f>+E73+E74</f>
        <v>495910.99539999996</v>
      </c>
      <c r="F75" s="245">
        <f t="shared" ref="F75:G75" si="15">SUM(F73:F74)</f>
        <v>559404.00359999994</v>
      </c>
      <c r="G75" s="373">
        <f t="shared" si="15"/>
        <v>532060.77439493779</v>
      </c>
      <c r="H75" s="265">
        <f>SUM(D75:G75)</f>
        <v>3087375.7733949376</v>
      </c>
      <c r="I75" s="374">
        <f>+I73+I74</f>
        <v>2741028.0399999996</v>
      </c>
      <c r="J75" s="375"/>
      <c r="K75" s="358"/>
    </row>
    <row r="76" spans="3:11" s="2" customFormat="1" ht="23.25" customHeight="1" x14ac:dyDescent="0.25">
      <c r="C76" s="294"/>
      <c r="D76" s="12"/>
      <c r="E76" s="12"/>
      <c r="F76" s="12"/>
      <c r="G76" s="12"/>
      <c r="H76" s="294"/>
      <c r="I76" s="296"/>
      <c r="J76" s="349"/>
    </row>
    <row r="77" spans="3:11" ht="23.25" customHeight="1" x14ac:dyDescent="0.25"/>
    <row r="78" spans="3:11" ht="21.75" customHeight="1" x14ac:dyDescent="0.25"/>
    <row r="79" spans="3:11" ht="16.5" customHeight="1" x14ac:dyDescent="0.25"/>
    <row r="80" spans="3:11" ht="29.25" customHeight="1" x14ac:dyDescent="0.25"/>
    <row r="81" ht="24.75" customHeight="1" x14ac:dyDescent="0.25"/>
    <row r="82" ht="33" customHeight="1" x14ac:dyDescent="0.25"/>
    <row r="84" ht="15" customHeight="1" x14ac:dyDescent="0.25"/>
    <row r="85" ht="25.5" customHeight="1" x14ac:dyDescent="0.25"/>
  </sheetData>
  <sheetProtection insertColumns="0" insertRows="0" deleteRows="0"/>
  <mergeCells count="17">
    <mergeCell ref="H51:I51"/>
    <mergeCell ref="C52:I52"/>
    <mergeCell ref="H63:I63"/>
    <mergeCell ref="C64:I64"/>
    <mergeCell ref="C41:I41"/>
    <mergeCell ref="C62:H62"/>
    <mergeCell ref="C1:G1"/>
    <mergeCell ref="C2:G2"/>
    <mergeCell ref="H16:I16"/>
    <mergeCell ref="H27:I27"/>
    <mergeCell ref="H39:I39"/>
    <mergeCell ref="B40:I40"/>
    <mergeCell ref="C17:I17"/>
    <mergeCell ref="C6:I6"/>
    <mergeCell ref="B5:I5"/>
    <mergeCell ref="C28:I28"/>
    <mergeCell ref="C38:H38"/>
  </mergeCells>
  <conditionalFormatting sqref="H15">
    <cfRule type="cellIs" dxfId="5" priority="18" operator="notEqual">
      <formula>$H$7</formula>
    </cfRule>
  </conditionalFormatting>
  <conditionalFormatting sqref="H37">
    <cfRule type="cellIs" dxfId="4" priority="16" operator="notEqual">
      <formula>$H$29</formula>
    </cfRule>
  </conditionalFormatting>
  <conditionalFormatting sqref="H50">
    <cfRule type="cellIs" dxfId="3" priority="14" operator="notEqual">
      <formula>$H$42</formula>
    </cfRule>
  </conditionalFormatting>
  <conditionalFormatting sqref="H61">
    <cfRule type="cellIs" dxfId="2" priority="13" operator="notEqual">
      <formula>$H$53</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9 C60 C7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8 C59 C71" xr:uid="{9DD30DAD-252C-43C8-B2D2-D70E24558917}"/>
    <dataValidation allowBlank="1" showInputMessage="1" showErrorMessage="1" prompt="Services contracted by an organization which follow the normal procurement processes." sqref="C11 C22 C33 C46 C57 C69" xr:uid="{D2D4883A-DF6E-4599-89E1-C25704DD6B71}"/>
    <dataValidation allowBlank="1" showInputMessage="1" showErrorMessage="1" prompt="Includes staff and non-staff travel paid for by the organization directly related to a project." sqref="C12 C23 C34 C47 C58 C7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5 C56 C6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4 C55 C67" xr:uid="{F098AF50-6738-49DD-B927-47F3EEE74261}"/>
    <dataValidation allowBlank="1" showInputMessage="1" showErrorMessage="1" prompt="Includes all related staff and temporary staff costs including base salary, post adjustment and all staff entitlements." sqref="C8 C19 C30 C43 C54 C66" xr:uid="{340B5EBB-3C3E-458C-BC5F-57C720FFB61A}"/>
    <dataValidation allowBlank="1" showInputMessage="1" showErrorMessage="1" prompt="Output totals must match the original total from Table 1, and will show as red if not. " sqref="H15" xr:uid="{CB4E1972-F42E-40FE-9670-1760DDE11E59}"/>
  </dataValidations>
  <pageMargins left="0.70866141732283472" right="0.70866141732283472" top="0.35433070866141736" bottom="0.35433070866141736" header="0.31496062992125984" footer="0.31496062992125984"/>
  <pageSetup scale="43" fitToHeight="5" orientation="portrait" r:id="rId1"/>
  <rowBreaks count="1" manualBreakCount="1">
    <brk id="51" max="16383" man="1"/>
  </rowBreaks>
  <ignoredErrors>
    <ignoredError sqref="F4:G4 D4 D8:E8 D33:F33 D47:E47 F10 E14:F14 E12 E57:F57 E44 F7 F15 F18 F26 F29 F37 F50 F42 F53 F73:F75 F61 G46:G49" unlockedFormula="1"/>
    <ignoredError sqref="E75 H15 H26 H37 H50 H66:H67 H68:H73 H6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4596-FD39-48F5-A278-2BB531D380D8}">
  <sheetPr>
    <tabColor theme="0"/>
    <pageSetUpPr fitToPage="1"/>
  </sheetPr>
  <dimension ref="A1:T47"/>
  <sheetViews>
    <sheetView topLeftCell="A22" workbookViewId="0">
      <selection activeCell="H40" sqref="H40:I40"/>
    </sheetView>
  </sheetViews>
  <sheetFormatPr baseColWidth="10" defaultRowHeight="15" x14ac:dyDescent="0.25"/>
  <cols>
    <col min="1" max="1" width="13.7109375" style="256" customWidth="1"/>
    <col min="2" max="2" width="8.28515625" style="256" customWidth="1"/>
    <col min="3" max="3" width="30.140625" style="256" customWidth="1"/>
    <col min="4" max="4" width="2.7109375" style="256" customWidth="1"/>
    <col min="5" max="5" width="0.7109375" style="256" customWidth="1"/>
    <col min="6" max="6" width="11.7109375" style="256" customWidth="1"/>
    <col min="7" max="7" width="4.140625" style="256" customWidth="1"/>
    <col min="8" max="8" width="15.140625" style="256" customWidth="1"/>
    <col min="9" max="9" width="4.140625" style="256" customWidth="1"/>
    <col min="10" max="10" width="2.5703125" style="256" customWidth="1"/>
    <col min="11" max="11" width="1" style="256" customWidth="1"/>
    <col min="12" max="12" width="0.42578125" style="256" customWidth="1"/>
    <col min="13" max="13" width="14.7109375" style="256" customWidth="1"/>
    <col min="14" max="14" width="0.42578125" style="256" customWidth="1"/>
    <col min="15" max="15" width="0.140625" style="256" customWidth="1"/>
    <col min="16" max="16" width="21.42578125" style="256" bestFit="1" customWidth="1"/>
    <col min="17" max="17" width="18.140625" style="256" customWidth="1"/>
    <col min="18" max="19" width="11.42578125" style="270"/>
    <col min="20" max="16384" width="11.42578125" style="256"/>
  </cols>
  <sheetData>
    <row r="1" spans="1:15" ht="54" customHeight="1" x14ac:dyDescent="0.25">
      <c r="B1" s="430" t="s">
        <v>490</v>
      </c>
      <c r="C1" s="426"/>
      <c r="D1" s="426"/>
      <c r="E1" s="426"/>
      <c r="F1" s="426"/>
      <c r="G1" s="426"/>
      <c r="H1" s="426"/>
      <c r="I1" s="426"/>
      <c r="J1" s="426"/>
      <c r="M1" s="426"/>
    </row>
    <row r="2" spans="1:15" ht="4.9000000000000004" customHeight="1" x14ac:dyDescent="0.25">
      <c r="M2" s="426"/>
    </row>
    <row r="3" spans="1:15" ht="62.1" customHeight="1" x14ac:dyDescent="0.25">
      <c r="A3" s="431" t="s">
        <v>491</v>
      </c>
      <c r="B3" s="426"/>
      <c r="C3" s="431" t="s">
        <v>492</v>
      </c>
      <c r="D3" s="426"/>
      <c r="E3" s="426"/>
      <c r="F3" s="426"/>
      <c r="G3" s="426"/>
      <c r="H3" s="426"/>
      <c r="I3" s="426"/>
      <c r="J3" s="426"/>
      <c r="K3" s="426"/>
      <c r="M3" s="426"/>
    </row>
    <row r="4" spans="1:15" x14ac:dyDescent="0.25">
      <c r="A4" s="426"/>
      <c r="B4" s="426"/>
      <c r="C4" s="426"/>
      <c r="D4" s="426"/>
      <c r="E4" s="426"/>
      <c r="F4" s="426"/>
      <c r="G4" s="426"/>
      <c r="H4" s="426"/>
      <c r="I4" s="426"/>
      <c r="J4" s="426"/>
      <c r="K4" s="426"/>
    </row>
    <row r="5" spans="1:15" ht="10.9" customHeight="1" x14ac:dyDescent="0.25">
      <c r="A5" s="425" t="s">
        <v>493</v>
      </c>
      <c r="B5" s="426"/>
      <c r="C5" s="426"/>
      <c r="D5" s="432" t="s">
        <v>494</v>
      </c>
      <c r="E5" s="426"/>
      <c r="F5" s="426"/>
      <c r="G5" s="426"/>
      <c r="H5" s="426"/>
      <c r="I5" s="426"/>
      <c r="J5" s="426"/>
      <c r="K5" s="426"/>
      <c r="L5" s="426"/>
      <c r="M5" s="426"/>
      <c r="N5" s="426"/>
      <c r="O5" s="426"/>
    </row>
    <row r="6" spans="1:15" ht="10.9" customHeight="1" x14ac:dyDescent="0.25">
      <c r="A6" s="425" t="s">
        <v>493</v>
      </c>
      <c r="B6" s="426"/>
      <c r="C6" s="426"/>
      <c r="D6" s="427" t="s">
        <v>495</v>
      </c>
      <c r="E6" s="428"/>
      <c r="F6" s="428"/>
      <c r="G6" s="429"/>
      <c r="H6" s="427" t="s">
        <v>535</v>
      </c>
      <c r="I6" s="429"/>
      <c r="J6" s="427" t="s">
        <v>536</v>
      </c>
      <c r="K6" s="428"/>
      <c r="L6" s="428"/>
      <c r="M6" s="428"/>
      <c r="N6" s="428"/>
      <c r="O6" s="429"/>
    </row>
    <row r="7" spans="1:15" ht="10.9" customHeight="1" x14ac:dyDescent="0.25">
      <c r="A7" s="425" t="s">
        <v>493</v>
      </c>
      <c r="B7" s="426"/>
      <c r="C7" s="426"/>
      <c r="D7" s="427" t="s">
        <v>496</v>
      </c>
      <c r="E7" s="428"/>
      <c r="F7" s="428"/>
      <c r="G7" s="429"/>
      <c r="H7" s="427" t="s">
        <v>497</v>
      </c>
      <c r="I7" s="429"/>
      <c r="J7" s="427" t="s">
        <v>498</v>
      </c>
      <c r="K7" s="428"/>
      <c r="L7" s="428"/>
      <c r="M7" s="428"/>
      <c r="N7" s="428"/>
      <c r="O7" s="429"/>
    </row>
    <row r="8" spans="1:15" ht="10.9" customHeight="1" x14ac:dyDescent="0.25">
      <c r="A8" s="431" t="s">
        <v>499</v>
      </c>
      <c r="B8" s="426"/>
      <c r="C8" s="426"/>
      <c r="D8" s="436" t="s">
        <v>493</v>
      </c>
      <c r="E8" s="426"/>
      <c r="F8" s="426"/>
      <c r="G8" s="434"/>
      <c r="H8" s="425" t="s">
        <v>493</v>
      </c>
      <c r="I8" s="426"/>
      <c r="J8" s="436" t="s">
        <v>493</v>
      </c>
      <c r="K8" s="426"/>
      <c r="L8" s="426"/>
      <c r="M8" s="426"/>
      <c r="N8" s="426"/>
      <c r="O8" s="434"/>
    </row>
    <row r="9" spans="1:15" ht="10.9" customHeight="1" x14ac:dyDescent="0.25">
      <c r="A9" s="425" t="s">
        <v>500</v>
      </c>
      <c r="B9" s="426"/>
      <c r="C9" s="426"/>
      <c r="D9" s="433">
        <v>2927757.54</v>
      </c>
      <c r="E9" s="426"/>
      <c r="F9" s="426"/>
      <c r="G9" s="434"/>
      <c r="H9" s="435">
        <v>0</v>
      </c>
      <c r="I9" s="426"/>
      <c r="J9" s="433">
        <v>2927757.54</v>
      </c>
      <c r="K9" s="426"/>
      <c r="L9" s="426"/>
      <c r="M9" s="426"/>
      <c r="N9" s="426"/>
      <c r="O9" s="434"/>
    </row>
    <row r="10" spans="1:15" ht="10.9" customHeight="1" x14ac:dyDescent="0.25">
      <c r="A10" s="425" t="s">
        <v>501</v>
      </c>
      <c r="B10" s="426"/>
      <c r="C10" s="426"/>
      <c r="D10" s="433">
        <v>0</v>
      </c>
      <c r="E10" s="426"/>
      <c r="F10" s="426"/>
      <c r="G10" s="434"/>
      <c r="H10" s="435">
        <v>0</v>
      </c>
      <c r="I10" s="426"/>
      <c r="J10" s="433">
        <v>0</v>
      </c>
      <c r="K10" s="426"/>
      <c r="L10" s="426"/>
      <c r="M10" s="426"/>
      <c r="N10" s="426"/>
      <c r="O10" s="434"/>
    </row>
    <row r="11" spans="1:15" ht="10.9" customHeight="1" x14ac:dyDescent="0.25">
      <c r="A11" s="425" t="s">
        <v>502</v>
      </c>
      <c r="B11" s="426"/>
      <c r="C11" s="426"/>
      <c r="D11" s="433">
        <v>0</v>
      </c>
      <c r="E11" s="426"/>
      <c r="F11" s="426"/>
      <c r="G11" s="434"/>
      <c r="H11" s="435">
        <v>0</v>
      </c>
      <c r="I11" s="426"/>
      <c r="J11" s="433">
        <v>0</v>
      </c>
      <c r="K11" s="426"/>
      <c r="L11" s="426"/>
      <c r="M11" s="426"/>
      <c r="N11" s="426"/>
      <c r="O11" s="434"/>
    </row>
    <row r="12" spans="1:15" ht="10.9" customHeight="1" x14ac:dyDescent="0.25">
      <c r="A12" s="425" t="s">
        <v>503</v>
      </c>
      <c r="B12" s="426"/>
      <c r="C12" s="426"/>
      <c r="D12" s="433">
        <v>0</v>
      </c>
      <c r="E12" s="426"/>
      <c r="F12" s="426"/>
      <c r="G12" s="434"/>
      <c r="H12" s="435">
        <v>0</v>
      </c>
      <c r="I12" s="426"/>
      <c r="J12" s="433">
        <v>0</v>
      </c>
      <c r="K12" s="426"/>
      <c r="L12" s="426"/>
      <c r="M12" s="426"/>
      <c r="N12" s="426"/>
      <c r="O12" s="434"/>
    </row>
    <row r="13" spans="1:15" ht="10.9" customHeight="1" x14ac:dyDescent="0.25">
      <c r="A13" s="431" t="s">
        <v>504</v>
      </c>
      <c r="B13" s="426"/>
      <c r="C13" s="426"/>
      <c r="D13" s="439">
        <v>2927757.54</v>
      </c>
      <c r="E13" s="428"/>
      <c r="F13" s="428"/>
      <c r="G13" s="429"/>
      <c r="H13" s="439">
        <v>0</v>
      </c>
      <c r="I13" s="429"/>
      <c r="J13" s="439">
        <v>2927757.54</v>
      </c>
      <c r="K13" s="428"/>
      <c r="L13" s="428"/>
      <c r="M13" s="428"/>
      <c r="N13" s="428"/>
      <c r="O13" s="429"/>
    </row>
    <row r="14" spans="1:15" ht="10.9" customHeight="1" x14ac:dyDescent="0.25">
      <c r="A14" s="431" t="s">
        <v>505</v>
      </c>
      <c r="B14" s="426"/>
      <c r="C14" s="426"/>
      <c r="D14" s="436" t="s">
        <v>493</v>
      </c>
      <c r="E14" s="426"/>
      <c r="F14" s="426"/>
      <c r="G14" s="434"/>
      <c r="H14" s="425" t="s">
        <v>493</v>
      </c>
      <c r="I14" s="426"/>
      <c r="J14" s="436" t="s">
        <v>493</v>
      </c>
      <c r="K14" s="426"/>
      <c r="L14" s="426"/>
      <c r="M14" s="426"/>
      <c r="N14" s="426"/>
      <c r="O14" s="434"/>
    </row>
    <row r="15" spans="1:15" ht="10.9" customHeight="1" x14ac:dyDescent="0.25">
      <c r="A15" s="437" t="s">
        <v>506</v>
      </c>
      <c r="B15" s="438"/>
      <c r="C15" s="438"/>
      <c r="D15" s="433">
        <v>1091433.55</v>
      </c>
      <c r="E15" s="426"/>
      <c r="F15" s="426"/>
      <c r="G15" s="434"/>
      <c r="H15" s="435">
        <v>80385.61</v>
      </c>
      <c r="I15" s="426"/>
      <c r="J15" s="433">
        <v>1171819.1599999999</v>
      </c>
      <c r="K15" s="426"/>
      <c r="L15" s="426"/>
      <c r="M15" s="426"/>
      <c r="N15" s="426"/>
      <c r="O15" s="434"/>
    </row>
    <row r="16" spans="1:15" ht="10.9" customHeight="1" x14ac:dyDescent="0.25">
      <c r="A16" s="437" t="s">
        <v>507</v>
      </c>
      <c r="B16" s="438"/>
      <c r="C16" s="438"/>
      <c r="D16" s="433">
        <v>18553.419999999998</v>
      </c>
      <c r="E16" s="426"/>
      <c r="F16" s="426"/>
      <c r="G16" s="434"/>
      <c r="H16" s="435">
        <v>-2787.74</v>
      </c>
      <c r="I16" s="426"/>
      <c r="J16" s="433">
        <v>15765.68</v>
      </c>
      <c r="K16" s="426"/>
      <c r="L16" s="426"/>
      <c r="M16" s="426"/>
      <c r="N16" s="426"/>
      <c r="O16" s="434"/>
    </row>
    <row r="17" spans="1:20" ht="10.9" customHeight="1" x14ac:dyDescent="0.25">
      <c r="A17" s="437" t="s">
        <v>508</v>
      </c>
      <c r="B17" s="438"/>
      <c r="C17" s="438"/>
      <c r="D17" s="433">
        <v>70997.350000000006</v>
      </c>
      <c r="E17" s="426"/>
      <c r="F17" s="426"/>
      <c r="G17" s="434"/>
      <c r="H17" s="435">
        <v>2247.8000000000002</v>
      </c>
      <c r="I17" s="426"/>
      <c r="J17" s="433">
        <v>73245.149999999994</v>
      </c>
      <c r="K17" s="426"/>
      <c r="L17" s="426"/>
      <c r="M17" s="426"/>
      <c r="N17" s="426"/>
      <c r="O17" s="434"/>
    </row>
    <row r="18" spans="1:20" ht="10.9" customHeight="1" x14ac:dyDescent="0.25">
      <c r="A18" s="425" t="s">
        <v>509</v>
      </c>
      <c r="B18" s="426"/>
      <c r="C18" s="426"/>
      <c r="D18" s="433">
        <v>733057.91</v>
      </c>
      <c r="E18" s="426"/>
      <c r="F18" s="426"/>
      <c r="G18" s="434"/>
      <c r="H18" s="435">
        <v>27257.33</v>
      </c>
      <c r="I18" s="426"/>
      <c r="J18" s="433">
        <v>760315.24</v>
      </c>
      <c r="K18" s="426"/>
      <c r="L18" s="426"/>
      <c r="M18" s="426"/>
      <c r="N18" s="426"/>
      <c r="O18" s="434"/>
      <c r="P18" s="271"/>
      <c r="T18" s="271"/>
    </row>
    <row r="19" spans="1:20" ht="10.9" customHeight="1" x14ac:dyDescent="0.25">
      <c r="A19" s="425" t="s">
        <v>510</v>
      </c>
      <c r="B19" s="426"/>
      <c r="C19" s="426"/>
      <c r="D19" s="433">
        <v>196526.79</v>
      </c>
      <c r="E19" s="426"/>
      <c r="F19" s="426"/>
      <c r="G19" s="434"/>
      <c r="H19" s="435">
        <v>6589.53</v>
      </c>
      <c r="I19" s="426"/>
      <c r="J19" s="433">
        <v>203116.32</v>
      </c>
      <c r="K19" s="426"/>
      <c r="L19" s="426"/>
      <c r="M19" s="426"/>
      <c r="N19" s="426"/>
      <c r="O19" s="434"/>
      <c r="P19" s="272"/>
      <c r="T19" s="271"/>
    </row>
    <row r="20" spans="1:20" ht="10.9" customHeight="1" x14ac:dyDescent="0.25">
      <c r="A20" s="425" t="s">
        <v>511</v>
      </c>
      <c r="B20" s="426"/>
      <c r="C20" s="426"/>
      <c r="D20" s="433">
        <v>572.58000000000004</v>
      </c>
      <c r="E20" s="426"/>
      <c r="F20" s="426"/>
      <c r="G20" s="434"/>
      <c r="H20" s="435">
        <v>0</v>
      </c>
      <c r="I20" s="426"/>
      <c r="J20" s="433">
        <v>572.58000000000004</v>
      </c>
      <c r="K20" s="426"/>
      <c r="L20" s="426"/>
      <c r="M20" s="426"/>
      <c r="N20" s="426"/>
      <c r="O20" s="434"/>
      <c r="T20" s="271"/>
    </row>
    <row r="21" spans="1:20" ht="10.9" customHeight="1" x14ac:dyDescent="0.25">
      <c r="A21" s="437" t="s">
        <v>512</v>
      </c>
      <c r="B21" s="438"/>
      <c r="C21" s="438"/>
      <c r="D21" s="433">
        <v>316228.09000000003</v>
      </c>
      <c r="E21" s="426"/>
      <c r="F21" s="426"/>
      <c r="G21" s="434"/>
      <c r="H21" s="435">
        <v>21940.17</v>
      </c>
      <c r="I21" s="426"/>
      <c r="J21" s="433">
        <v>338168.26</v>
      </c>
      <c r="K21" s="426"/>
      <c r="L21" s="426"/>
      <c r="M21" s="426"/>
      <c r="N21" s="426"/>
      <c r="O21" s="434"/>
      <c r="T21" s="271"/>
    </row>
    <row r="22" spans="1:20" ht="10.9" customHeight="1" x14ac:dyDescent="0.25">
      <c r="A22" s="425" t="s">
        <v>513</v>
      </c>
      <c r="B22" s="426"/>
      <c r="C22" s="426"/>
      <c r="D22" s="440">
        <f>SUM(D15:G21)</f>
        <v>2427369.69</v>
      </c>
      <c r="E22" s="441"/>
      <c r="F22" s="441"/>
      <c r="G22" s="442"/>
      <c r="H22" s="443">
        <f>SUM(H15:I21)</f>
        <v>135632.70000000001</v>
      </c>
      <c r="I22" s="441"/>
      <c r="J22" s="440">
        <f>SUM(J15:O21)</f>
        <v>2563002.3899999997</v>
      </c>
      <c r="K22" s="441"/>
      <c r="L22" s="441"/>
      <c r="M22" s="441"/>
      <c r="N22" s="441"/>
      <c r="O22" s="442"/>
    </row>
    <row r="23" spans="1:20" ht="10.9" customHeight="1" x14ac:dyDescent="0.25">
      <c r="A23" s="425" t="s">
        <v>493</v>
      </c>
      <c r="B23" s="426"/>
      <c r="C23" s="426"/>
      <c r="D23" s="436" t="s">
        <v>493</v>
      </c>
      <c r="E23" s="426"/>
      <c r="F23" s="426"/>
      <c r="G23" s="434"/>
      <c r="H23" s="425" t="s">
        <v>493</v>
      </c>
      <c r="I23" s="426"/>
      <c r="J23" s="436" t="s">
        <v>493</v>
      </c>
      <c r="K23" s="426"/>
      <c r="L23" s="426"/>
      <c r="M23" s="426"/>
      <c r="N23" s="426"/>
      <c r="O23" s="434"/>
    </row>
    <row r="24" spans="1:20" ht="13.5" customHeight="1" x14ac:dyDescent="0.25">
      <c r="A24" s="425" t="s">
        <v>514</v>
      </c>
      <c r="B24" s="426"/>
      <c r="C24" s="426"/>
      <c r="D24" s="433">
        <v>170247.69</v>
      </c>
      <c r="E24" s="426"/>
      <c r="F24" s="426"/>
      <c r="G24" s="434"/>
      <c r="H24" s="435">
        <v>7777.96</v>
      </c>
      <c r="I24" s="426"/>
      <c r="J24" s="433">
        <v>178025.65</v>
      </c>
      <c r="K24" s="426"/>
      <c r="L24" s="426"/>
      <c r="M24" s="426"/>
      <c r="N24" s="426"/>
      <c r="O24" s="434"/>
    </row>
    <row r="25" spans="1:20" ht="15" customHeight="1" x14ac:dyDescent="0.25">
      <c r="A25" s="431" t="s">
        <v>515</v>
      </c>
      <c r="B25" s="426"/>
      <c r="C25" s="426"/>
      <c r="D25" s="440">
        <f>+D22+D24</f>
        <v>2597617.38</v>
      </c>
      <c r="E25" s="441"/>
      <c r="F25" s="441"/>
      <c r="G25" s="442"/>
      <c r="H25" s="443">
        <f>SUM(H22:I24)</f>
        <v>143410.66</v>
      </c>
      <c r="I25" s="441"/>
      <c r="J25" s="448">
        <f>SUM(J22:O24)</f>
        <v>2741028.0399999996</v>
      </c>
      <c r="K25" s="449"/>
      <c r="L25" s="449"/>
      <c r="M25" s="449"/>
      <c r="N25" s="449"/>
      <c r="O25" s="450"/>
      <c r="P25" s="376"/>
      <c r="Q25" s="378"/>
      <c r="R25" s="271"/>
    </row>
    <row r="26" spans="1:20" ht="10.9" customHeight="1" thickBot="1" x14ac:dyDescent="0.3">
      <c r="A26" s="431" t="s">
        <v>516</v>
      </c>
      <c r="B26" s="426"/>
      <c r="C26" s="426"/>
      <c r="D26" s="444">
        <f>+D13-D25</f>
        <v>330140.16000000015</v>
      </c>
      <c r="E26" s="445"/>
      <c r="F26" s="445"/>
      <c r="G26" s="446"/>
      <c r="H26" s="447">
        <v>186729.5</v>
      </c>
      <c r="I26" s="445"/>
      <c r="J26" s="491">
        <f>J13-J25</f>
        <v>186729.50000000047</v>
      </c>
      <c r="K26" s="492"/>
      <c r="L26" s="492"/>
      <c r="M26" s="492"/>
      <c r="N26" s="492"/>
      <c r="O26" s="493"/>
    </row>
    <row r="27" spans="1:20" ht="7.15" customHeight="1" thickTop="1" x14ac:dyDescent="0.25">
      <c r="A27" s="431" t="s">
        <v>493</v>
      </c>
      <c r="B27" s="426"/>
      <c r="C27" s="426"/>
      <c r="D27" s="425" t="s">
        <v>493</v>
      </c>
      <c r="E27" s="426"/>
      <c r="F27" s="426"/>
      <c r="G27" s="426"/>
      <c r="H27" s="425" t="s">
        <v>493</v>
      </c>
      <c r="I27" s="426"/>
      <c r="J27" s="425" t="s">
        <v>493</v>
      </c>
      <c r="K27" s="426"/>
      <c r="L27" s="426"/>
      <c r="M27" s="426"/>
      <c r="N27" s="426"/>
      <c r="O27" s="426"/>
    </row>
    <row r="28" spans="1:20" ht="10.9" customHeight="1" x14ac:dyDescent="0.25">
      <c r="A28" s="431" t="s">
        <v>517</v>
      </c>
      <c r="B28" s="426"/>
      <c r="C28" s="426"/>
      <c r="D28" s="451" t="s">
        <v>493</v>
      </c>
      <c r="E28" s="441"/>
      <c r="F28" s="441"/>
      <c r="G28" s="442"/>
      <c r="H28" s="452" t="s">
        <v>493</v>
      </c>
      <c r="I28" s="441"/>
      <c r="J28" s="451" t="s">
        <v>493</v>
      </c>
      <c r="K28" s="441"/>
      <c r="L28" s="441"/>
      <c r="M28" s="441"/>
      <c r="N28" s="441"/>
      <c r="O28" s="442"/>
    </row>
    <row r="29" spans="1:20" ht="10.9" customHeight="1" x14ac:dyDescent="0.25">
      <c r="A29" s="425" t="s">
        <v>518</v>
      </c>
      <c r="B29" s="426"/>
      <c r="C29" s="426"/>
      <c r="D29" s="433">
        <v>41975.34</v>
      </c>
      <c r="E29" s="426"/>
      <c r="F29" s="426"/>
      <c r="G29" s="434"/>
      <c r="H29" s="435">
        <v>40527.9</v>
      </c>
      <c r="I29" s="426"/>
      <c r="J29" s="433">
        <v>40527.9</v>
      </c>
      <c r="K29" s="426"/>
      <c r="L29" s="426"/>
      <c r="M29" s="426"/>
      <c r="N29" s="426"/>
      <c r="O29" s="434"/>
    </row>
    <row r="30" spans="1:20" ht="10.9" customHeight="1" x14ac:dyDescent="0.25">
      <c r="A30" s="425" t="s">
        <v>519</v>
      </c>
      <c r="B30" s="426"/>
      <c r="C30" s="426"/>
      <c r="D30" s="433">
        <v>6250.06</v>
      </c>
      <c r="E30" s="426"/>
      <c r="F30" s="426"/>
      <c r="G30" s="434"/>
      <c r="H30" s="435">
        <v>0</v>
      </c>
      <c r="I30" s="426"/>
      <c r="J30" s="433">
        <v>0</v>
      </c>
      <c r="K30" s="426"/>
      <c r="L30" s="426"/>
      <c r="M30" s="426"/>
      <c r="N30" s="426"/>
      <c r="O30" s="434"/>
    </row>
    <row r="31" spans="1:20" ht="10.9" customHeight="1" x14ac:dyDescent="0.25">
      <c r="A31" s="425" t="s">
        <v>513</v>
      </c>
      <c r="B31" s="426"/>
      <c r="C31" s="426"/>
      <c r="D31" s="440">
        <v>48225.4</v>
      </c>
      <c r="E31" s="441"/>
      <c r="F31" s="441"/>
      <c r="G31" s="442"/>
      <c r="H31" s="440">
        <v>40527.9</v>
      </c>
      <c r="I31" s="441"/>
      <c r="J31" s="440">
        <v>40527.9</v>
      </c>
      <c r="K31" s="441"/>
      <c r="L31" s="441"/>
      <c r="M31" s="441"/>
      <c r="N31" s="441"/>
      <c r="O31" s="442"/>
    </row>
    <row r="32" spans="1:20" ht="10.9" customHeight="1" x14ac:dyDescent="0.25">
      <c r="A32" s="425" t="s">
        <v>493</v>
      </c>
      <c r="B32" s="426"/>
      <c r="C32" s="426"/>
      <c r="D32" s="436" t="s">
        <v>493</v>
      </c>
      <c r="E32" s="426"/>
      <c r="F32" s="426"/>
      <c r="G32" s="434"/>
      <c r="H32" s="425" t="s">
        <v>493</v>
      </c>
      <c r="I32" s="426"/>
      <c r="J32" s="436" t="s">
        <v>493</v>
      </c>
      <c r="K32" s="426"/>
      <c r="L32" s="426"/>
      <c r="M32" s="426"/>
      <c r="N32" s="426"/>
      <c r="O32" s="434"/>
    </row>
    <row r="33" spans="1:17" ht="10.9" customHeight="1" x14ac:dyDescent="0.25">
      <c r="A33" s="431" t="s">
        <v>520</v>
      </c>
      <c r="B33" s="426"/>
      <c r="C33" s="426"/>
      <c r="D33" s="436" t="s">
        <v>493</v>
      </c>
      <c r="E33" s="426"/>
      <c r="F33" s="426"/>
      <c r="G33" s="434"/>
      <c r="H33" s="425" t="s">
        <v>493</v>
      </c>
      <c r="I33" s="426"/>
      <c r="J33" s="436" t="s">
        <v>493</v>
      </c>
      <c r="K33" s="426"/>
      <c r="L33" s="426"/>
      <c r="M33" s="426"/>
      <c r="N33" s="426"/>
      <c r="O33" s="434"/>
    </row>
    <row r="34" spans="1:17" ht="10.9" customHeight="1" x14ac:dyDescent="0.25">
      <c r="A34" s="425" t="s">
        <v>521</v>
      </c>
      <c r="B34" s="426"/>
      <c r="C34" s="426"/>
      <c r="D34" s="433">
        <v>0</v>
      </c>
      <c r="E34" s="426"/>
      <c r="F34" s="426"/>
      <c r="G34" s="434"/>
      <c r="H34" s="435">
        <v>0</v>
      </c>
      <c r="I34" s="426"/>
      <c r="J34" s="433">
        <v>0</v>
      </c>
      <c r="K34" s="426"/>
      <c r="L34" s="426"/>
      <c r="M34" s="426"/>
      <c r="N34" s="426"/>
      <c r="O34" s="434"/>
    </row>
    <row r="35" spans="1:17" ht="10.9" customHeight="1" thickBot="1" x14ac:dyDescent="0.3">
      <c r="A35" s="431" t="s">
        <v>522</v>
      </c>
      <c r="B35" s="426"/>
      <c r="C35" s="426"/>
      <c r="D35" s="444">
        <v>281914.76000000199</v>
      </c>
      <c r="E35" s="445"/>
      <c r="F35" s="445"/>
      <c r="G35" s="446"/>
      <c r="H35" s="447">
        <v>146201.60000000001</v>
      </c>
      <c r="I35" s="445"/>
      <c r="J35" s="444">
        <v>146201.60000000001</v>
      </c>
      <c r="K35" s="445"/>
      <c r="L35" s="445"/>
      <c r="M35" s="445"/>
      <c r="N35" s="445"/>
      <c r="O35" s="446"/>
      <c r="Q35" s="271"/>
    </row>
    <row r="36" spans="1:17" ht="7.15" customHeight="1" thickTop="1" x14ac:dyDescent="0.25">
      <c r="A36" s="431" t="s">
        <v>493</v>
      </c>
      <c r="B36" s="426"/>
      <c r="C36" s="426"/>
      <c r="D36" s="425" t="s">
        <v>493</v>
      </c>
      <c r="E36" s="426"/>
      <c r="F36" s="426"/>
      <c r="G36" s="426"/>
      <c r="H36" s="425" t="s">
        <v>493</v>
      </c>
      <c r="I36" s="426"/>
      <c r="J36" s="425" t="s">
        <v>493</v>
      </c>
      <c r="K36" s="426"/>
      <c r="L36" s="426"/>
      <c r="M36" s="426"/>
      <c r="N36" s="426"/>
      <c r="O36" s="426"/>
    </row>
    <row r="37" spans="1:17" ht="10.9" customHeight="1" x14ac:dyDescent="0.25">
      <c r="A37" s="431" t="s">
        <v>523</v>
      </c>
      <c r="B37" s="426"/>
      <c r="C37" s="426"/>
      <c r="D37" s="439">
        <v>3087375.77</v>
      </c>
      <c r="E37" s="428"/>
      <c r="F37" s="428"/>
      <c r="G37" s="429"/>
      <c r="H37" s="439">
        <v>0</v>
      </c>
      <c r="I37" s="429"/>
      <c r="J37" s="439">
        <v>3087375.77</v>
      </c>
      <c r="K37" s="428"/>
      <c r="L37" s="428"/>
      <c r="M37" s="428"/>
      <c r="N37" s="428"/>
      <c r="O37" s="429"/>
      <c r="Q37" s="271"/>
    </row>
    <row r="38" spans="1:17" ht="10.9" customHeight="1" thickBot="1" x14ac:dyDescent="0.3">
      <c r="A38" s="431" t="s">
        <v>524</v>
      </c>
      <c r="B38" s="426"/>
      <c r="C38" s="426"/>
      <c r="D38" s="439">
        <v>2927757.54</v>
      </c>
      <c r="E38" s="428"/>
      <c r="F38" s="428"/>
      <c r="G38" s="429"/>
      <c r="H38" s="439">
        <v>0</v>
      </c>
      <c r="I38" s="429"/>
      <c r="J38" s="439">
        <v>2927757.54</v>
      </c>
      <c r="K38" s="428"/>
      <c r="L38" s="428"/>
      <c r="M38" s="428"/>
      <c r="N38" s="428"/>
      <c r="O38" s="429"/>
    </row>
    <row r="39" spans="1:17" ht="18.75" customHeight="1" thickBot="1" x14ac:dyDescent="0.3">
      <c r="A39" s="431" t="s">
        <v>525</v>
      </c>
      <c r="B39" s="426"/>
      <c r="C39" s="426"/>
      <c r="D39" s="439">
        <v>159618.23000000001</v>
      </c>
      <c r="E39" s="428"/>
      <c r="F39" s="428"/>
      <c r="G39" s="429"/>
      <c r="H39" s="439">
        <v>159618.23000000001</v>
      </c>
      <c r="I39" s="429"/>
      <c r="J39" s="489">
        <v>159618.23000000001</v>
      </c>
      <c r="K39" s="490"/>
      <c r="L39" s="490"/>
      <c r="M39" s="490"/>
      <c r="N39" s="490"/>
      <c r="O39" s="490"/>
      <c r="P39" s="487" t="s">
        <v>537</v>
      </c>
      <c r="Q39" s="488">
        <f>+J26+J39</f>
        <v>346347.73000000045</v>
      </c>
    </row>
    <row r="40" spans="1:17" ht="10.9" customHeight="1" x14ac:dyDescent="0.25">
      <c r="A40" s="431" t="s">
        <v>526</v>
      </c>
      <c r="B40" s="426"/>
      <c r="C40" s="426"/>
      <c r="D40" s="439">
        <v>0</v>
      </c>
      <c r="E40" s="428"/>
      <c r="F40" s="428"/>
      <c r="G40" s="429"/>
      <c r="H40" s="439">
        <v>0</v>
      </c>
      <c r="I40" s="429"/>
      <c r="J40" s="439">
        <v>0</v>
      </c>
      <c r="K40" s="428"/>
      <c r="L40" s="428"/>
      <c r="M40" s="428"/>
      <c r="N40" s="428"/>
      <c r="O40" s="429"/>
    </row>
    <row r="41" spans="1:17" ht="3.6" customHeight="1" x14ac:dyDescent="0.25"/>
    <row r="42" spans="1:17" ht="90" customHeight="1" x14ac:dyDescent="0.25">
      <c r="A42" s="455" t="s">
        <v>527</v>
      </c>
      <c r="B42" s="426"/>
      <c r="C42" s="426"/>
      <c r="D42" s="426"/>
      <c r="E42" s="455" t="s">
        <v>528</v>
      </c>
      <c r="F42" s="426"/>
      <c r="G42" s="426"/>
      <c r="H42" s="426"/>
      <c r="I42" s="426"/>
      <c r="J42" s="426"/>
      <c r="K42" s="426"/>
      <c r="L42" s="426"/>
      <c r="M42" s="426"/>
      <c r="N42" s="426"/>
      <c r="O42" s="426"/>
    </row>
    <row r="43" spans="1:17" ht="3.6" customHeight="1" x14ac:dyDescent="0.25"/>
    <row r="44" spans="1:17" ht="25.15" customHeight="1" x14ac:dyDescent="0.25">
      <c r="A44" s="425" t="s">
        <v>529</v>
      </c>
      <c r="B44" s="426"/>
      <c r="C44" s="426"/>
      <c r="D44" s="426"/>
      <c r="E44" s="426"/>
      <c r="F44" s="426"/>
      <c r="G44" s="426"/>
      <c r="H44" s="426"/>
      <c r="I44" s="426"/>
      <c r="J44" s="426"/>
      <c r="K44" s="426"/>
      <c r="L44" s="426"/>
      <c r="M44" s="426"/>
      <c r="N44" s="426"/>
      <c r="O44" s="426"/>
    </row>
    <row r="45" spans="1:17" ht="21.6" customHeight="1" x14ac:dyDescent="0.25"/>
    <row r="46" spans="1:17" x14ac:dyDescent="0.25">
      <c r="A46" s="453" t="s">
        <v>530</v>
      </c>
      <c r="B46" s="441"/>
      <c r="C46" s="441"/>
      <c r="D46" s="441"/>
      <c r="E46" s="441"/>
      <c r="G46" s="454" t="s">
        <v>531</v>
      </c>
      <c r="H46" s="441"/>
    </row>
    <row r="47" spans="1:17" x14ac:dyDescent="0.25">
      <c r="A47" s="426"/>
      <c r="B47" s="426"/>
      <c r="C47" s="426"/>
      <c r="D47" s="426"/>
      <c r="E47" s="426"/>
    </row>
  </sheetData>
  <mergeCells count="151">
    <mergeCell ref="A44:O44"/>
    <mergeCell ref="A46:E47"/>
    <mergeCell ref="G46:H46"/>
    <mergeCell ref="A40:C40"/>
    <mergeCell ref="D40:G40"/>
    <mergeCell ref="H40:I40"/>
    <mergeCell ref="J40:O40"/>
    <mergeCell ref="A42:D42"/>
    <mergeCell ref="E42:O42"/>
    <mergeCell ref="A38:C38"/>
    <mergeCell ref="D38:G38"/>
    <mergeCell ref="H38:I38"/>
    <mergeCell ref="J38:O38"/>
    <mergeCell ref="A39:C39"/>
    <mergeCell ref="D39:G39"/>
    <mergeCell ref="H39:I39"/>
    <mergeCell ref="J39:O39"/>
    <mergeCell ref="A36:C36"/>
    <mergeCell ref="D36:G36"/>
    <mergeCell ref="H36:I36"/>
    <mergeCell ref="J36:O36"/>
    <mergeCell ref="A37:C37"/>
    <mergeCell ref="D37:G37"/>
    <mergeCell ref="H37:I37"/>
    <mergeCell ref="J37:O37"/>
    <mergeCell ref="A34:C34"/>
    <mergeCell ref="D34:G34"/>
    <mergeCell ref="H34:I34"/>
    <mergeCell ref="J34:O34"/>
    <mergeCell ref="A35:C35"/>
    <mergeCell ref="D35:G35"/>
    <mergeCell ref="H35:I35"/>
    <mergeCell ref="J35:O35"/>
    <mergeCell ref="A32:C32"/>
    <mergeCell ref="D32:G32"/>
    <mergeCell ref="H32:I32"/>
    <mergeCell ref="J32:O32"/>
    <mergeCell ref="A33:C33"/>
    <mergeCell ref="D33:G33"/>
    <mergeCell ref="H33:I33"/>
    <mergeCell ref="J33:O33"/>
    <mergeCell ref="A30:C30"/>
    <mergeCell ref="D30:G30"/>
    <mergeCell ref="H30:I30"/>
    <mergeCell ref="J30:O30"/>
    <mergeCell ref="A31:C31"/>
    <mergeCell ref="D31:G31"/>
    <mergeCell ref="H31:I31"/>
    <mergeCell ref="J31:O31"/>
    <mergeCell ref="A28:C28"/>
    <mergeCell ref="D28:G28"/>
    <mergeCell ref="H28:I28"/>
    <mergeCell ref="J28:O28"/>
    <mergeCell ref="A29:C29"/>
    <mergeCell ref="D29:G29"/>
    <mergeCell ref="H29:I29"/>
    <mergeCell ref="J29:O29"/>
    <mergeCell ref="A26:C26"/>
    <mergeCell ref="D26:G26"/>
    <mergeCell ref="H26:I26"/>
    <mergeCell ref="J26:O26"/>
    <mergeCell ref="A27:C27"/>
    <mergeCell ref="D27:G27"/>
    <mergeCell ref="H27:I27"/>
    <mergeCell ref="J27:O27"/>
    <mergeCell ref="A24:C24"/>
    <mergeCell ref="D24:G24"/>
    <mergeCell ref="H24:I24"/>
    <mergeCell ref="J24:O24"/>
    <mergeCell ref="A25:C25"/>
    <mergeCell ref="D25:G25"/>
    <mergeCell ref="H25:I25"/>
    <mergeCell ref="J25:O25"/>
    <mergeCell ref="A22:C22"/>
    <mergeCell ref="D22:G22"/>
    <mergeCell ref="H22:I22"/>
    <mergeCell ref="J22:O22"/>
    <mergeCell ref="A23:C23"/>
    <mergeCell ref="D23:G23"/>
    <mergeCell ref="H23:I23"/>
    <mergeCell ref="J23:O23"/>
    <mergeCell ref="A20:C20"/>
    <mergeCell ref="D20:G20"/>
    <mergeCell ref="H20:I20"/>
    <mergeCell ref="J20:O20"/>
    <mergeCell ref="A21:C21"/>
    <mergeCell ref="D21:G21"/>
    <mergeCell ref="H21:I21"/>
    <mergeCell ref="J21:O21"/>
    <mergeCell ref="A18:C18"/>
    <mergeCell ref="D18:G18"/>
    <mergeCell ref="H18:I18"/>
    <mergeCell ref="J18:O18"/>
    <mergeCell ref="A19:C19"/>
    <mergeCell ref="D19:G19"/>
    <mergeCell ref="H19:I19"/>
    <mergeCell ref="J19:O19"/>
    <mergeCell ref="A16:C16"/>
    <mergeCell ref="D16:G16"/>
    <mergeCell ref="H16:I16"/>
    <mergeCell ref="J16:O16"/>
    <mergeCell ref="A17:C17"/>
    <mergeCell ref="D17:G17"/>
    <mergeCell ref="H17:I17"/>
    <mergeCell ref="J17:O17"/>
    <mergeCell ref="A14:C14"/>
    <mergeCell ref="D14:G14"/>
    <mergeCell ref="H14:I14"/>
    <mergeCell ref="J14:O14"/>
    <mergeCell ref="A15:C15"/>
    <mergeCell ref="D15:G15"/>
    <mergeCell ref="H15:I15"/>
    <mergeCell ref="J15:O15"/>
    <mergeCell ref="A12:C12"/>
    <mergeCell ref="D12:G12"/>
    <mergeCell ref="H12:I12"/>
    <mergeCell ref="J12:O12"/>
    <mergeCell ref="A13:C13"/>
    <mergeCell ref="D13:G13"/>
    <mergeCell ref="H13:I13"/>
    <mergeCell ref="J13:O13"/>
    <mergeCell ref="A10:C10"/>
    <mergeCell ref="D10:G10"/>
    <mergeCell ref="H10:I10"/>
    <mergeCell ref="J10:O10"/>
    <mergeCell ref="A11:C11"/>
    <mergeCell ref="D11:G11"/>
    <mergeCell ref="H11:I11"/>
    <mergeCell ref="J11:O11"/>
    <mergeCell ref="A8:C8"/>
    <mergeCell ref="D8:G8"/>
    <mergeCell ref="H8:I8"/>
    <mergeCell ref="J8:O8"/>
    <mergeCell ref="A9:C9"/>
    <mergeCell ref="D9:G9"/>
    <mergeCell ref="H9:I9"/>
    <mergeCell ref="J9:O9"/>
    <mergeCell ref="A6:C6"/>
    <mergeCell ref="D6:G6"/>
    <mergeCell ref="H6:I6"/>
    <mergeCell ref="J6:O6"/>
    <mergeCell ref="A7:C7"/>
    <mergeCell ref="D7:G7"/>
    <mergeCell ref="H7:I7"/>
    <mergeCell ref="J7:O7"/>
    <mergeCell ref="B1:J1"/>
    <mergeCell ref="M1:M3"/>
    <mergeCell ref="A3:B4"/>
    <mergeCell ref="C3:K4"/>
    <mergeCell ref="A5:C5"/>
    <mergeCell ref="D5:O5"/>
  </mergeCells>
  <pageMargins left="0.70866141732283472" right="0.70866141732283472" top="0.74803149606299213" bottom="0.74803149606299213" header="0.31496062992125984" footer="0.31496062992125984"/>
  <pageSetup paperSize="9" scale="7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C22" sqref="C22"/>
    </sheetView>
  </sheetViews>
  <sheetFormatPr baseColWidth="10" defaultColWidth="8.85546875" defaultRowHeight="15" x14ac:dyDescent="0.25"/>
  <cols>
    <col min="2" max="2" width="73.28515625" customWidth="1"/>
  </cols>
  <sheetData>
    <row r="1" spans="2:6" ht="15.75" thickBot="1" x14ac:dyDescent="0.3"/>
    <row r="2" spans="2:6" ht="15.75" thickBot="1" x14ac:dyDescent="0.3">
      <c r="B2" s="104" t="s">
        <v>426</v>
      </c>
      <c r="C2" s="1"/>
      <c r="D2" s="1"/>
      <c r="E2" s="1"/>
      <c r="F2" s="1"/>
    </row>
    <row r="3" spans="2:6" ht="70.5" customHeight="1" x14ac:dyDescent="0.25">
      <c r="B3" s="105" t="s">
        <v>433</v>
      </c>
    </row>
    <row r="4" spans="2:6" ht="60" x14ac:dyDescent="0.25">
      <c r="B4" s="102" t="s">
        <v>427</v>
      </c>
    </row>
    <row r="5" spans="2:6" x14ac:dyDescent="0.25">
      <c r="B5" s="102"/>
    </row>
    <row r="6" spans="2:6" ht="75" x14ac:dyDescent="0.25">
      <c r="B6" s="101" t="s">
        <v>428</v>
      </c>
    </row>
    <row r="7" spans="2:6" x14ac:dyDescent="0.25">
      <c r="B7" s="102"/>
    </row>
    <row r="8" spans="2:6" ht="75" x14ac:dyDescent="0.25">
      <c r="B8" s="101" t="s">
        <v>434</v>
      </c>
    </row>
    <row r="9" spans="2:6" x14ac:dyDescent="0.25">
      <c r="B9" s="102"/>
    </row>
    <row r="10" spans="2:6" ht="30" x14ac:dyDescent="0.25">
      <c r="B10" s="102" t="s">
        <v>429</v>
      </c>
    </row>
    <row r="11" spans="2:6" x14ac:dyDescent="0.25">
      <c r="B11" s="102"/>
    </row>
    <row r="12" spans="2:6" ht="75" x14ac:dyDescent="0.25">
      <c r="B12" s="101" t="s">
        <v>435</v>
      </c>
    </row>
    <row r="13" spans="2:6" x14ac:dyDescent="0.25">
      <c r="B13" s="102"/>
    </row>
    <row r="14" spans="2:6" ht="60.75" thickBot="1" x14ac:dyDescent="0.3">
      <c r="B14" s="103" t="s">
        <v>430</v>
      </c>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pageSetUpPr fitToPage="1"/>
  </sheetPr>
  <dimension ref="B1:F25"/>
  <sheetViews>
    <sheetView showGridLines="0" showZeros="0" zoomScale="80" zoomScaleNormal="80" zoomScaleSheetLayoutView="70" workbookViewId="0">
      <selection activeCell="I26" sqref="I26"/>
    </sheetView>
  </sheetViews>
  <sheetFormatPr baseColWidth="10" defaultColWidth="8.85546875" defaultRowHeight="15" x14ac:dyDescent="0.25"/>
  <cols>
    <col min="2" max="2" width="61.85546875" customWidth="1"/>
    <col min="4" max="4" width="17.85546875" customWidth="1"/>
    <col min="6" max="6" width="15.5703125" bestFit="1" customWidth="1"/>
  </cols>
  <sheetData>
    <row r="1" spans="2:6" ht="15.75" thickBot="1" x14ac:dyDescent="0.3"/>
    <row r="2" spans="2:6" x14ac:dyDescent="0.25">
      <c r="B2" s="466" t="s">
        <v>363</v>
      </c>
      <c r="C2" s="467"/>
      <c r="D2" s="468"/>
    </row>
    <row r="3" spans="2:6" ht="15.75" thickBot="1" x14ac:dyDescent="0.3">
      <c r="B3" s="469"/>
      <c r="C3" s="470"/>
      <c r="D3" s="471"/>
    </row>
    <row r="4" spans="2:6" ht="15.75" thickBot="1" x14ac:dyDescent="0.3"/>
    <row r="5" spans="2:6" x14ac:dyDescent="0.25">
      <c r="B5" s="458" t="s">
        <v>15</v>
      </c>
      <c r="C5" s="459"/>
      <c r="D5" s="460"/>
    </row>
    <row r="6" spans="2:6" ht="15.75" thickBot="1" x14ac:dyDescent="0.3">
      <c r="B6" s="472"/>
      <c r="C6" s="473"/>
      <c r="D6" s="474"/>
    </row>
    <row r="7" spans="2:6" x14ac:dyDescent="0.25">
      <c r="B7" s="54" t="s">
        <v>16</v>
      </c>
      <c r="C7" s="464">
        <f>SUM('1) Tableau budgétaire 1'!D12:G12,'1) Tableau budgétaire 1'!D17:G17,'1) Tableau budgétaire 1'!D25:G25,)</f>
        <v>2554533.0100000002</v>
      </c>
      <c r="D7" s="465"/>
    </row>
    <row r="8" spans="2:6" x14ac:dyDescent="0.25">
      <c r="B8" s="54" t="s">
        <v>361</v>
      </c>
      <c r="C8" s="456">
        <f>SUM(D10:D14)</f>
        <v>0</v>
      </c>
      <c r="D8" s="457"/>
    </row>
    <row r="9" spans="2:6" x14ac:dyDescent="0.25">
      <c r="B9" s="55" t="s">
        <v>357</v>
      </c>
      <c r="C9" s="56" t="s">
        <v>358</v>
      </c>
      <c r="D9" s="57" t="s">
        <v>359</v>
      </c>
    </row>
    <row r="10" spans="2:6" ht="35.1" customHeight="1" x14ac:dyDescent="0.25">
      <c r="B10" s="78"/>
      <c r="C10" s="59"/>
      <c r="D10" s="60">
        <f>$C$7*C10</f>
        <v>0</v>
      </c>
    </row>
    <row r="11" spans="2:6" ht="35.1" customHeight="1" x14ac:dyDescent="0.25">
      <c r="B11" s="78"/>
      <c r="C11" s="59"/>
      <c r="D11" s="60">
        <f>C7*C11</f>
        <v>0</v>
      </c>
    </row>
    <row r="12" spans="2:6" ht="35.1" customHeight="1" x14ac:dyDescent="0.25">
      <c r="B12" s="79"/>
      <c r="C12" s="59"/>
      <c r="D12" s="60">
        <f>C7*C12</f>
        <v>0</v>
      </c>
      <c r="F12" s="215"/>
    </row>
    <row r="13" spans="2:6" ht="35.1" customHeight="1" x14ac:dyDescent="0.25">
      <c r="B13" s="79"/>
      <c r="C13" s="59"/>
      <c r="D13" s="60">
        <f>C7*C13</f>
        <v>0</v>
      </c>
    </row>
    <row r="14" spans="2:6" ht="35.1" customHeight="1" thickBot="1" x14ac:dyDescent="0.3">
      <c r="B14" s="80"/>
      <c r="C14" s="59"/>
      <c r="D14" s="64">
        <f>C7*C14</f>
        <v>0</v>
      </c>
      <c r="F14" s="215"/>
    </row>
    <row r="15" spans="2:6" ht="15.75" thickBot="1" x14ac:dyDescent="0.3"/>
    <row r="16" spans="2:6" x14ac:dyDescent="0.25">
      <c r="B16" s="458" t="s">
        <v>360</v>
      </c>
      <c r="C16" s="459"/>
      <c r="D16" s="460"/>
      <c r="F16" s="215"/>
    </row>
    <row r="17" spans="2:4" ht="15.75" thickBot="1" x14ac:dyDescent="0.3">
      <c r="B17" s="461"/>
      <c r="C17" s="462"/>
      <c r="D17" s="463"/>
    </row>
    <row r="18" spans="2:4" x14ac:dyDescent="0.25">
      <c r="B18" s="54" t="s">
        <v>16</v>
      </c>
      <c r="C18" s="464">
        <f>SUM('1) Tableau budgétaire 1'!D33:G33,'1) Tableau budgétaire 1'!D41:G41, )</f>
        <v>330865.75</v>
      </c>
      <c r="D18" s="465"/>
    </row>
    <row r="19" spans="2:4" x14ac:dyDescent="0.25">
      <c r="B19" s="54" t="s">
        <v>361</v>
      </c>
      <c r="C19" s="456">
        <f>SUM(D21:D25)</f>
        <v>0</v>
      </c>
      <c r="D19" s="457"/>
    </row>
    <row r="20" spans="2:4" x14ac:dyDescent="0.25">
      <c r="B20" s="55" t="s">
        <v>357</v>
      </c>
      <c r="C20" s="56" t="s">
        <v>358</v>
      </c>
      <c r="D20" s="57" t="s">
        <v>359</v>
      </c>
    </row>
    <row r="21" spans="2:4" ht="35.1" customHeight="1" x14ac:dyDescent="0.25">
      <c r="B21" s="58"/>
      <c r="C21" s="59"/>
      <c r="D21" s="60">
        <f>$C$18*C21</f>
        <v>0</v>
      </c>
    </row>
    <row r="22" spans="2:4" ht="35.1" customHeight="1" x14ac:dyDescent="0.25">
      <c r="B22" s="61"/>
      <c r="C22" s="59"/>
      <c r="D22" s="60">
        <f>$C$18*C22</f>
        <v>0</v>
      </c>
    </row>
    <row r="23" spans="2:4" ht="35.1" customHeight="1" x14ac:dyDescent="0.25">
      <c r="B23" s="62"/>
      <c r="C23" s="59"/>
      <c r="D23" s="60">
        <f>$C$18*C23</f>
        <v>0</v>
      </c>
    </row>
    <row r="24" spans="2:4" ht="35.1" customHeight="1" x14ac:dyDescent="0.25">
      <c r="B24" s="62"/>
      <c r="C24" s="59"/>
      <c r="D24" s="60">
        <f>$C$18*C24</f>
        <v>0</v>
      </c>
    </row>
    <row r="25" spans="2:4" ht="35.1" customHeight="1" thickBot="1" x14ac:dyDescent="0.3">
      <c r="B25" s="63"/>
      <c r="C25" s="59"/>
      <c r="D25" s="60">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1" priority="4" operator="greaterThan">
      <formula>$C$7</formula>
    </cfRule>
  </conditionalFormatting>
  <conditionalFormatting sqref="C19:D19">
    <cfRule type="cellIs" dxfId="0" priority="3" operator="greaterThan">
      <formula>$C$18</formula>
    </cfRule>
  </conditionalFormatting>
  <pageMargins left="0.70866141732283472" right="0.70866141732283472" top="0.74803149606299213" bottom="0.74803149606299213" header="0.31496062992125984" footer="0.31496062992125984"/>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xm:sqref>
        </x14:dataValidation>
        <x14:dataValidation type="list" allowBlank="1" showInputMessage="1" showErrorMessage="1" xr:uid="{0777CB22-5B10-42BE-9A12-0810C4C8B0D2}">
          <x14:formula1>
            <xm:f>Dropdowns!$A$1:$A$6</xm:f>
          </x14:formula1>
          <xm:sqref>C10:C14 C21:C25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pageSetUpPr fitToPage="1"/>
  </sheetPr>
  <dimension ref="B1:H26"/>
  <sheetViews>
    <sheetView showGridLines="0" zoomScale="80" zoomScaleNormal="80" workbookViewId="0">
      <selection activeCell="I31" sqref="I31"/>
    </sheetView>
  </sheetViews>
  <sheetFormatPr baseColWidth="10" defaultColWidth="8.85546875" defaultRowHeight="15" x14ac:dyDescent="0.25"/>
  <cols>
    <col min="1" max="1" width="12.42578125" customWidth="1"/>
    <col min="2" max="2" width="31.7109375" customWidth="1"/>
    <col min="3" max="6" width="20.85546875" customWidth="1"/>
    <col min="7" max="7" width="21.5703125" customWidth="1"/>
    <col min="8" max="8" width="18.42578125" customWidth="1"/>
    <col min="9" max="9" width="21.7109375" customWidth="1"/>
    <col min="10" max="11" width="15.85546875" bestFit="1" customWidth="1"/>
    <col min="12" max="12" width="11.140625" bestFit="1" customWidth="1"/>
  </cols>
  <sheetData>
    <row r="1" spans="2:8" ht="15.75" thickBot="1" x14ac:dyDescent="0.3"/>
    <row r="2" spans="2:8" s="47" customFormat="1" ht="15.75" x14ac:dyDescent="0.25">
      <c r="B2" s="481" t="s">
        <v>12</v>
      </c>
      <c r="C2" s="482"/>
      <c r="D2" s="482"/>
      <c r="E2" s="482"/>
      <c r="F2" s="482"/>
      <c r="G2" s="483"/>
    </row>
    <row r="3" spans="2:8" s="47" customFormat="1" ht="16.5" thickBot="1" x14ac:dyDescent="0.3">
      <c r="B3" s="484"/>
      <c r="C3" s="485"/>
      <c r="D3" s="485"/>
      <c r="E3" s="485"/>
      <c r="F3" s="485"/>
      <c r="G3" s="486"/>
    </row>
    <row r="4" spans="2:8" s="47" customFormat="1" ht="16.5" thickBot="1" x14ac:dyDescent="0.3"/>
    <row r="5" spans="2:8" s="47" customFormat="1" ht="16.5" thickBot="1" x14ac:dyDescent="0.3">
      <c r="B5" s="478" t="s">
        <v>6</v>
      </c>
      <c r="C5" s="479"/>
      <c r="D5" s="479"/>
      <c r="E5" s="479"/>
      <c r="F5" s="479"/>
      <c r="G5" s="480"/>
    </row>
    <row r="6" spans="2:8" s="47" customFormat="1" ht="52.5" customHeight="1" x14ac:dyDescent="0.25">
      <c r="B6" s="45"/>
      <c r="C6" s="41" t="str">
        <f>'1) Tableau budgétaire 1'!D5</f>
        <v>Budget initial  
(Budget en USD)
UNDP</v>
      </c>
      <c r="D6" s="193" t="s">
        <v>480</v>
      </c>
      <c r="E6" s="224" t="str">
        <f>'1) Tableau budgétaire 1'!F5</f>
        <v>Budget revisé 2020  (budget en USD)
UNDP</v>
      </c>
      <c r="F6" s="229" t="str">
        <f>'1) Tableau budgétaire 1'!G5</f>
        <v>Budget revisé 2021 (budget en USD)
UNDP</v>
      </c>
      <c r="G6" s="25" t="s">
        <v>6</v>
      </c>
    </row>
    <row r="7" spans="2:8" s="47" customFormat="1" ht="31.5" x14ac:dyDescent="0.25">
      <c r="B7" s="17" t="s">
        <v>0</v>
      </c>
      <c r="C7" s="46">
        <f>'2) Tableau budgétaire 2'!D66</f>
        <v>789000</v>
      </c>
      <c r="D7" s="221">
        <f>'2) Tableau budgétaire 2'!E66</f>
        <v>183639</v>
      </c>
      <c r="E7" s="225">
        <f>'2) Tableau budgétaire 2'!F66</f>
        <v>0</v>
      </c>
      <c r="F7" s="216">
        <f>'2) Tableau budgétaire 2'!G66</f>
        <v>67049.78</v>
      </c>
      <c r="G7" s="43">
        <f t="shared" ref="G7:G14" si="0">SUM(C7:F7)</f>
        <v>1039688.78</v>
      </c>
    </row>
    <row r="8" spans="2:8" s="47" customFormat="1" ht="47.25" x14ac:dyDescent="0.25">
      <c r="B8" s="17" t="s">
        <v>1</v>
      </c>
      <c r="C8" s="46">
        <f>'2) Tableau budgétaire 2'!D67</f>
        <v>40100</v>
      </c>
      <c r="D8" s="221">
        <f>'2) Tableau budgétaire 2'!E67</f>
        <v>2570</v>
      </c>
      <c r="E8" s="225">
        <f>'2) Tableau budgétaire 2'!F67</f>
        <v>0</v>
      </c>
      <c r="F8" s="216">
        <f>'2) Tableau budgétaire 2'!G67</f>
        <v>10000</v>
      </c>
      <c r="G8" s="44">
        <f t="shared" si="0"/>
        <v>52670</v>
      </c>
    </row>
    <row r="9" spans="2:8" s="47" customFormat="1" ht="78.75" x14ac:dyDescent="0.25">
      <c r="B9" s="17" t="s">
        <v>2</v>
      </c>
      <c r="C9" s="46">
        <f>'2) Tableau budgétaire 2'!D68</f>
        <v>45000</v>
      </c>
      <c r="D9" s="221">
        <f>'2) Tableau budgétaire 2'!E68</f>
        <v>6158</v>
      </c>
      <c r="E9" s="225">
        <f>'2) Tableau budgétaire 2'!F68</f>
        <v>65000</v>
      </c>
      <c r="F9" s="216">
        <f>'2) Tableau budgétaire 2'!G68</f>
        <v>15000</v>
      </c>
      <c r="G9" s="44">
        <f t="shared" si="0"/>
        <v>131158</v>
      </c>
    </row>
    <row r="10" spans="2:8" s="47" customFormat="1" ht="15.75" x14ac:dyDescent="0.25">
      <c r="B10" s="29" t="s">
        <v>3</v>
      </c>
      <c r="C10" s="46">
        <f>'2) Tableau budgétaire 2'!D69</f>
        <v>348300</v>
      </c>
      <c r="D10" s="221">
        <f>'2) Tableau budgétaire 2'!E69</f>
        <v>114100.22</v>
      </c>
      <c r="E10" s="225">
        <f>'2) Tableau budgétaire 2'!F69</f>
        <v>255397.47999999998</v>
      </c>
      <c r="F10" s="216">
        <f>'2) Tableau budgétaire 2'!G69</f>
        <v>137500</v>
      </c>
      <c r="G10" s="44">
        <f t="shared" si="0"/>
        <v>855297.7</v>
      </c>
    </row>
    <row r="11" spans="2:8" s="47" customFormat="1" ht="15.75" x14ac:dyDescent="0.25">
      <c r="B11" s="17" t="s">
        <v>5</v>
      </c>
      <c r="C11" s="46">
        <f>'2) Tableau budgétaire 2'!D70</f>
        <v>104470</v>
      </c>
      <c r="D11" s="221">
        <f>'2) Tableau budgétaire 2'!E70</f>
        <v>95001</v>
      </c>
      <c r="E11" s="225">
        <f>'2) Tableau budgétaire 2'!F70</f>
        <v>0</v>
      </c>
      <c r="F11" s="216">
        <f>'2) Tableau budgétaire 2'!G70</f>
        <v>115432.8335876319</v>
      </c>
      <c r="G11" s="44">
        <f t="shared" si="0"/>
        <v>314903.83358763193</v>
      </c>
    </row>
    <row r="12" spans="2:8" s="47" customFormat="1" ht="47.25" x14ac:dyDescent="0.25">
      <c r="B12" s="17" t="s">
        <v>4</v>
      </c>
      <c r="C12" s="46">
        <f>'2) Tableau budgétaire 2'!D71</f>
        <v>0</v>
      </c>
      <c r="D12" s="221">
        <f>'2) Tableau budgétaire 2'!E71</f>
        <v>0</v>
      </c>
      <c r="E12" s="225">
        <f>'2) Tableau budgétaire 2'!F71</f>
        <v>0</v>
      </c>
      <c r="F12" s="216">
        <f>'2) Tableau budgétaire 2'!G71</f>
        <v>0</v>
      </c>
      <c r="G12" s="44">
        <f t="shared" si="0"/>
        <v>0</v>
      </c>
    </row>
    <row r="13" spans="2:8" s="47" customFormat="1" ht="32.25" thickBot="1" x14ac:dyDescent="0.3">
      <c r="B13" s="109" t="s">
        <v>13</v>
      </c>
      <c r="C13" s="110">
        <f>'2) Tableau budgétaire 2'!D72</f>
        <v>75000</v>
      </c>
      <c r="D13" s="221">
        <f>'2) Tableau budgétaire 2'!E72</f>
        <v>62000</v>
      </c>
      <c r="E13" s="226">
        <f>'2) Tableau budgétaire 2'!F72</f>
        <v>202410</v>
      </c>
      <c r="F13" s="230">
        <f>'2) Tableau budgétaire 2'!G72</f>
        <v>152270.44659455292</v>
      </c>
      <c r="G13" s="111">
        <f t="shared" si="0"/>
        <v>491680.44659455295</v>
      </c>
    </row>
    <row r="14" spans="2:8" s="47" customFormat="1" ht="30" customHeight="1" x14ac:dyDescent="0.25">
      <c r="B14" s="112" t="s">
        <v>437</v>
      </c>
      <c r="C14" s="113">
        <f>SUM(C7:C13)</f>
        <v>1401870</v>
      </c>
      <c r="D14" s="222">
        <f>SUM(D7:D13)</f>
        <v>463468.22</v>
      </c>
      <c r="E14" s="227">
        <f>SUM(E7:E13)</f>
        <v>522807.48</v>
      </c>
      <c r="F14" s="231">
        <f>SUM(F7:F13)</f>
        <v>497253.0601821848</v>
      </c>
      <c r="G14" s="114">
        <f t="shared" si="0"/>
        <v>2885398.7601821851</v>
      </c>
    </row>
    <row r="15" spans="2:8" s="47" customFormat="1" ht="22.5" customHeight="1" x14ac:dyDescent="0.25">
      <c r="B15" s="106" t="s">
        <v>436</v>
      </c>
      <c r="C15" s="68">
        <v>98130</v>
      </c>
      <c r="D15" s="200">
        <f>D14*0.07</f>
        <v>32442.775400000002</v>
      </c>
      <c r="E15" s="248">
        <f>+E14*7%</f>
        <v>36596.5236</v>
      </c>
      <c r="F15" s="179">
        <f>F14*0.07</f>
        <v>34807.714212752937</v>
      </c>
      <c r="G15" s="84">
        <f>SUM(C15:F15)</f>
        <v>201977.01321275294</v>
      </c>
    </row>
    <row r="16" spans="2:8" s="47" customFormat="1" ht="30" customHeight="1" thickBot="1" x14ac:dyDescent="0.3">
      <c r="B16" s="107" t="s">
        <v>11</v>
      </c>
      <c r="C16" s="108">
        <f>C14+C15</f>
        <v>1500000</v>
      </c>
      <c r="D16" s="223">
        <f t="shared" ref="D16:F16" si="1">D14+D15</f>
        <v>495910.99539999996</v>
      </c>
      <c r="E16" s="228">
        <f t="shared" si="1"/>
        <v>559404.00359999994</v>
      </c>
      <c r="F16" s="232">
        <f t="shared" si="1"/>
        <v>532060.77439493779</v>
      </c>
      <c r="G16" s="247">
        <f t="shared" ref="G16" si="2">G14+G15</f>
        <v>3087375.7733949381</v>
      </c>
      <c r="H16" s="246"/>
    </row>
    <row r="17" spans="2:8" s="47" customFormat="1" ht="16.5" thickBot="1" x14ac:dyDescent="0.3"/>
    <row r="18" spans="2:8" s="47" customFormat="1" ht="16.5" thickBot="1" x14ac:dyDescent="0.3">
      <c r="B18" s="475" t="s">
        <v>7</v>
      </c>
      <c r="C18" s="476"/>
      <c r="D18" s="476"/>
      <c r="E18" s="476"/>
      <c r="F18" s="476"/>
      <c r="G18" s="477"/>
    </row>
    <row r="19" spans="2:8" ht="48" customHeight="1" x14ac:dyDescent="0.25">
      <c r="B19" s="24"/>
      <c r="C19" s="22" t="str">
        <f>'1) Tableau budgétaire 1'!D5</f>
        <v>Budget initial  
(Budget en USD)
UNDP</v>
      </c>
      <c r="D19" s="193" t="s">
        <v>480</v>
      </c>
      <c r="E19" s="236" t="str">
        <f>'1) Tableau budgétaire 1'!F5</f>
        <v>Budget revisé 2020  (budget en USD)
UNDP</v>
      </c>
      <c r="F19" s="233" t="str">
        <f>'1) Tableau budgétaire 1'!G5</f>
        <v>Budget revisé 2021 (budget en USD)
UNDP</v>
      </c>
      <c r="G19" s="25" t="s">
        <v>362</v>
      </c>
      <c r="H19" s="241" t="s">
        <v>9</v>
      </c>
    </row>
    <row r="20" spans="2:8" ht="23.25" customHeight="1" x14ac:dyDescent="0.25">
      <c r="B20" s="23" t="s">
        <v>8</v>
      </c>
      <c r="C20" s="21">
        <f>'1) Tableau budgétaire 1'!D67</f>
        <v>1500000</v>
      </c>
      <c r="D20" s="239">
        <f>'1) Tableau budgétaire 1'!E67</f>
        <v>0</v>
      </c>
      <c r="E20" s="237">
        <v>0</v>
      </c>
      <c r="F20" s="234">
        <f>'1) Tableau budgétaire 1'!G67</f>
        <v>0</v>
      </c>
      <c r="G20" s="125">
        <f>'1) Tableau budgétaire 1'!H67</f>
        <v>1500000</v>
      </c>
      <c r="H20" s="242">
        <f>'1) Tableau budgétaire 1'!I67</f>
        <v>1</v>
      </c>
    </row>
    <row r="21" spans="2:8" ht="24.75" customHeight="1" x14ac:dyDescent="0.25">
      <c r="B21" s="23" t="s">
        <v>10</v>
      </c>
      <c r="C21" s="21">
        <f>'1) Tableau budgétaire 1'!D68</f>
        <v>0</v>
      </c>
      <c r="D21" s="239">
        <f>'1) Tableau budgétaire 1'!E68</f>
        <v>495910.99539999996</v>
      </c>
      <c r="E21" s="237">
        <v>0</v>
      </c>
      <c r="F21" s="234">
        <f>'1) Tableau budgétaire 1'!G68</f>
        <v>0</v>
      </c>
      <c r="G21" s="125">
        <f>'1) Tableau budgétaire 1'!H68</f>
        <v>495910.99539999996</v>
      </c>
      <c r="H21" s="242">
        <f>'1) Tableau budgétaire 1'!I68</f>
        <v>1</v>
      </c>
    </row>
    <row r="22" spans="2:8" ht="24.75" customHeight="1" x14ac:dyDescent="0.25">
      <c r="B22" s="23" t="s">
        <v>444</v>
      </c>
      <c r="C22" s="21">
        <f>'1) Tableau budgétaire 1'!D69</f>
        <v>0</v>
      </c>
      <c r="D22" s="239">
        <f>'1) Tableau budgétaire 1'!E69</f>
        <v>0</v>
      </c>
      <c r="E22" s="237">
        <f>'1) Tableau budgétaire 1'!F69</f>
        <v>389478</v>
      </c>
      <c r="F22" s="234">
        <f>'1) Tableau budgétaire 1'!G69</f>
        <v>0</v>
      </c>
      <c r="G22" s="125">
        <f>'1) Tableau budgétaire 1'!H69</f>
        <v>389478</v>
      </c>
      <c r="H22" s="243">
        <v>0.7</v>
      </c>
    </row>
    <row r="23" spans="2:8" ht="24.75" customHeight="1" x14ac:dyDescent="0.25">
      <c r="B23" s="23" t="s">
        <v>484</v>
      </c>
      <c r="C23" s="21">
        <f>'1) Tableau budgétaire 1'!D70</f>
        <v>0</v>
      </c>
      <c r="D23" s="239">
        <f>'1) Tableau budgétaire 1'!E70</f>
        <v>0</v>
      </c>
      <c r="E23" s="237">
        <f>'1) Tableau budgétaire 1'!F70</f>
        <v>169926</v>
      </c>
      <c r="F23" s="234">
        <f>'1) Tableau budgétaire 1'!G70</f>
        <v>0</v>
      </c>
      <c r="G23" s="125">
        <f>'1) Tableau budgétaire 1'!H70</f>
        <v>169926</v>
      </c>
      <c r="H23" s="243">
        <v>0.3</v>
      </c>
    </row>
    <row r="24" spans="2:8" ht="24.75" customHeight="1" x14ac:dyDescent="0.25">
      <c r="B24" s="23" t="s">
        <v>485</v>
      </c>
      <c r="C24" s="21">
        <f>'1) Tableau budgétaire 1'!D71</f>
        <v>0</v>
      </c>
      <c r="D24" s="239">
        <f>'1) Tableau budgétaire 1'!E71</f>
        <v>0</v>
      </c>
      <c r="E24" s="237">
        <v>0</v>
      </c>
      <c r="F24" s="234">
        <f>'1) Tableau budgétaire 1'!G71</f>
        <v>372442.54207645642</v>
      </c>
      <c r="G24" s="125">
        <f>'1) Tableau budgétaire 1'!H71</f>
        <v>372442.54207645642</v>
      </c>
      <c r="H24" s="243">
        <v>0.7</v>
      </c>
    </row>
    <row r="25" spans="2:8" ht="24.75" customHeight="1" thickBot="1" x14ac:dyDescent="0.3">
      <c r="B25" s="23" t="s">
        <v>486</v>
      </c>
      <c r="C25" s="21">
        <f>'1) Tableau budgétaire 1'!D72</f>
        <v>0</v>
      </c>
      <c r="D25" s="239">
        <f>'1) Tableau budgétaire 1'!E72</f>
        <v>0</v>
      </c>
      <c r="E25" s="237">
        <f>'1) Tableau budgétaire 1'!F74</f>
        <v>0</v>
      </c>
      <c r="F25" s="234">
        <f>'1) Tableau budgétaire 1'!G72</f>
        <v>159618.23231848134</v>
      </c>
      <c r="G25" s="125">
        <f>'1) Tableau budgétaire 1'!H72</f>
        <v>159618.23231848134</v>
      </c>
      <c r="H25" s="244">
        <f>'1) Tableau budgétaire 1'!I72</f>
        <v>0.3</v>
      </c>
    </row>
    <row r="26" spans="2:8" ht="16.5" thickBot="1" x14ac:dyDescent="0.3">
      <c r="B26" s="8" t="s">
        <v>362</v>
      </c>
      <c r="C26" s="126">
        <f>'1) Tableau budgétaire 1'!D73</f>
        <v>1500000</v>
      </c>
      <c r="D26" s="240">
        <f>'1) Tableau budgétaire 1'!E73</f>
        <v>495910.99539999996</v>
      </c>
      <c r="E26" s="238">
        <f>'1) Tableau budgétaire 1'!F73</f>
        <v>559404</v>
      </c>
      <c r="F26" s="235">
        <f>'1) Tableau budgétaire 1'!G73</f>
        <v>532060.77439493779</v>
      </c>
      <c r="G26" s="247">
        <f>'1) Tableau budgétaire 1'!H73</f>
        <v>3087375.7697949377</v>
      </c>
    </row>
  </sheetData>
  <sheetProtection formatCells="0" formatColumns="0" formatRows="0"/>
  <mergeCells count="3">
    <mergeCell ref="B18:G18"/>
    <mergeCell ref="B5:G5"/>
    <mergeCell ref="B2:G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0866141732283472" right="0.70866141732283472" top="0.74803149606299213" bottom="0.74803149606299213" header="0.31496062992125984" footer="0.31496062992125984"/>
  <pageSetup scale="53" fitToHeight="4" orientation="portrait" r:id="rId1"/>
  <ignoredErrors>
    <ignoredError sqref="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98">
        <v>0</v>
      </c>
    </row>
    <row r="2" spans="1:1" x14ac:dyDescent="0.25">
      <c r="A2" s="98">
        <v>0.2</v>
      </c>
    </row>
    <row r="3" spans="1:1" x14ac:dyDescent="0.25">
      <c r="A3" s="98">
        <v>0.4</v>
      </c>
    </row>
    <row r="4" spans="1:1" x14ac:dyDescent="0.25">
      <c r="A4" s="98">
        <v>0.6</v>
      </c>
    </row>
    <row r="5" spans="1:1" x14ac:dyDescent="0.25">
      <c r="A5" s="98">
        <v>0.8</v>
      </c>
    </row>
    <row r="6" spans="1:1" x14ac:dyDescent="0.25">
      <c r="A6" s="9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48" t="s">
        <v>17</v>
      </c>
      <c r="B1" s="49" t="s">
        <v>18</v>
      </c>
    </row>
    <row r="2" spans="1:2" x14ac:dyDescent="0.25">
      <c r="A2" s="50" t="s">
        <v>19</v>
      </c>
      <c r="B2" s="51" t="s">
        <v>20</v>
      </c>
    </row>
    <row r="3" spans="1:2" x14ac:dyDescent="0.25">
      <c r="A3" s="50" t="s">
        <v>21</v>
      </c>
      <c r="B3" s="51" t="s">
        <v>22</v>
      </c>
    </row>
    <row r="4" spans="1:2" x14ac:dyDescent="0.25">
      <c r="A4" s="50" t="s">
        <v>23</v>
      </c>
      <c r="B4" s="51" t="s">
        <v>24</v>
      </c>
    </row>
    <row r="5" spans="1:2" x14ac:dyDescent="0.25">
      <c r="A5" s="50" t="s">
        <v>25</v>
      </c>
      <c r="B5" s="51" t="s">
        <v>26</v>
      </c>
    </row>
    <row r="6" spans="1:2" x14ac:dyDescent="0.25">
      <c r="A6" s="50" t="s">
        <v>27</v>
      </c>
      <c r="B6" s="51" t="s">
        <v>28</v>
      </c>
    </row>
    <row r="7" spans="1:2" x14ac:dyDescent="0.25">
      <c r="A7" s="50" t="s">
        <v>29</v>
      </c>
      <c r="B7" s="51" t="s">
        <v>30</v>
      </c>
    </row>
    <row r="8" spans="1:2" x14ac:dyDescent="0.25">
      <c r="A8" s="50" t="s">
        <v>31</v>
      </c>
      <c r="B8" s="51" t="s">
        <v>32</v>
      </c>
    </row>
    <row r="9" spans="1:2" x14ac:dyDescent="0.25">
      <c r="A9" s="50" t="s">
        <v>33</v>
      </c>
      <c r="B9" s="51" t="s">
        <v>34</v>
      </c>
    </row>
    <row r="10" spans="1:2" x14ac:dyDescent="0.25">
      <c r="A10" s="50" t="s">
        <v>35</v>
      </c>
      <c r="B10" s="51" t="s">
        <v>36</v>
      </c>
    </row>
    <row r="11" spans="1:2" x14ac:dyDescent="0.25">
      <c r="A11" s="50" t="s">
        <v>37</v>
      </c>
      <c r="B11" s="51" t="s">
        <v>38</v>
      </c>
    </row>
    <row r="12" spans="1:2" x14ac:dyDescent="0.25">
      <c r="A12" s="50" t="s">
        <v>39</v>
      </c>
      <c r="B12" s="51" t="s">
        <v>40</v>
      </c>
    </row>
    <row r="13" spans="1:2" x14ac:dyDescent="0.25">
      <c r="A13" s="50" t="s">
        <v>41</v>
      </c>
      <c r="B13" s="51" t="s">
        <v>42</v>
      </c>
    </row>
    <row r="14" spans="1:2" x14ac:dyDescent="0.25">
      <c r="A14" s="50" t="s">
        <v>43</v>
      </c>
      <c r="B14" s="51" t="s">
        <v>44</v>
      </c>
    </row>
    <row r="15" spans="1:2" x14ac:dyDescent="0.25">
      <c r="A15" s="50" t="s">
        <v>45</v>
      </c>
      <c r="B15" s="51" t="s">
        <v>46</v>
      </c>
    </row>
    <row r="16" spans="1:2" x14ac:dyDescent="0.25">
      <c r="A16" s="50" t="s">
        <v>47</v>
      </c>
      <c r="B16" s="51" t="s">
        <v>48</v>
      </c>
    </row>
    <row r="17" spans="1:2" x14ac:dyDescent="0.25">
      <c r="A17" s="50" t="s">
        <v>49</v>
      </c>
      <c r="B17" s="51" t="s">
        <v>50</v>
      </c>
    </row>
    <row r="18" spans="1:2" x14ac:dyDescent="0.25">
      <c r="A18" s="50" t="s">
        <v>51</v>
      </c>
      <c r="B18" s="51" t="s">
        <v>52</v>
      </c>
    </row>
    <row r="19" spans="1:2" x14ac:dyDescent="0.25">
      <c r="A19" s="50" t="s">
        <v>53</v>
      </c>
      <c r="B19" s="51" t="s">
        <v>54</v>
      </c>
    </row>
    <row r="20" spans="1:2" x14ac:dyDescent="0.25">
      <c r="A20" s="50" t="s">
        <v>55</v>
      </c>
      <c r="B20" s="51" t="s">
        <v>56</v>
      </c>
    </row>
    <row r="21" spans="1:2" x14ac:dyDescent="0.25">
      <c r="A21" s="50" t="s">
        <v>57</v>
      </c>
      <c r="B21" s="51" t="s">
        <v>58</v>
      </c>
    </row>
    <row r="22" spans="1:2" x14ac:dyDescent="0.25">
      <c r="A22" s="50" t="s">
        <v>59</v>
      </c>
      <c r="B22" s="51" t="s">
        <v>60</v>
      </c>
    </row>
    <row r="23" spans="1:2" x14ac:dyDescent="0.25">
      <c r="A23" s="50" t="s">
        <v>61</v>
      </c>
      <c r="B23" s="51" t="s">
        <v>62</v>
      </c>
    </row>
    <row r="24" spans="1:2" x14ac:dyDescent="0.25">
      <c r="A24" s="50" t="s">
        <v>63</v>
      </c>
      <c r="B24" s="51" t="s">
        <v>64</v>
      </c>
    </row>
    <row r="25" spans="1:2" x14ac:dyDescent="0.25">
      <c r="A25" s="50" t="s">
        <v>65</v>
      </c>
      <c r="B25" s="51" t="s">
        <v>66</v>
      </c>
    </row>
    <row r="26" spans="1:2" x14ac:dyDescent="0.25">
      <c r="A26" s="50" t="s">
        <v>67</v>
      </c>
      <c r="B26" s="51" t="s">
        <v>68</v>
      </c>
    </row>
    <row r="27" spans="1:2" x14ac:dyDescent="0.25">
      <c r="A27" s="50" t="s">
        <v>69</v>
      </c>
      <c r="B27" s="51" t="s">
        <v>70</v>
      </c>
    </row>
    <row r="28" spans="1:2" x14ac:dyDescent="0.25">
      <c r="A28" s="50" t="s">
        <v>71</v>
      </c>
      <c r="B28" s="51" t="s">
        <v>72</v>
      </c>
    </row>
    <row r="29" spans="1:2" x14ac:dyDescent="0.25">
      <c r="A29" s="50" t="s">
        <v>73</v>
      </c>
      <c r="B29" s="51" t="s">
        <v>74</v>
      </c>
    </row>
    <row r="30" spans="1:2" x14ac:dyDescent="0.25">
      <c r="A30" s="50" t="s">
        <v>75</v>
      </c>
      <c r="B30" s="51" t="s">
        <v>76</v>
      </c>
    </row>
    <row r="31" spans="1:2" x14ac:dyDescent="0.25">
      <c r="A31" s="50" t="s">
        <v>77</v>
      </c>
      <c r="B31" s="51" t="s">
        <v>78</v>
      </c>
    </row>
    <row r="32" spans="1:2" x14ac:dyDescent="0.25">
      <c r="A32" s="50" t="s">
        <v>79</v>
      </c>
      <c r="B32" s="51" t="s">
        <v>80</v>
      </c>
    </row>
    <row r="33" spans="1:2" x14ac:dyDescent="0.25">
      <c r="A33" s="50" t="s">
        <v>81</v>
      </c>
      <c r="B33" s="51" t="s">
        <v>82</v>
      </c>
    </row>
    <row r="34" spans="1:2" x14ac:dyDescent="0.25">
      <c r="A34" s="50" t="s">
        <v>83</v>
      </c>
      <c r="B34" s="51" t="s">
        <v>84</v>
      </c>
    </row>
    <row r="35" spans="1:2" x14ac:dyDescent="0.25">
      <c r="A35" s="50" t="s">
        <v>85</v>
      </c>
      <c r="B35" s="51" t="s">
        <v>86</v>
      </c>
    </row>
    <row r="36" spans="1:2" x14ac:dyDescent="0.25">
      <c r="A36" s="50" t="s">
        <v>87</v>
      </c>
      <c r="B36" s="51" t="s">
        <v>88</v>
      </c>
    </row>
    <row r="37" spans="1:2" x14ac:dyDescent="0.25">
      <c r="A37" s="50" t="s">
        <v>89</v>
      </c>
      <c r="B37" s="51" t="s">
        <v>90</v>
      </c>
    </row>
    <row r="38" spans="1:2" x14ac:dyDescent="0.25">
      <c r="A38" s="50" t="s">
        <v>91</v>
      </c>
      <c r="B38" s="51" t="s">
        <v>92</v>
      </c>
    </row>
    <row r="39" spans="1:2" x14ac:dyDescent="0.25">
      <c r="A39" s="50" t="s">
        <v>93</v>
      </c>
      <c r="B39" s="51" t="s">
        <v>94</v>
      </c>
    </row>
    <row r="40" spans="1:2" x14ac:dyDescent="0.25">
      <c r="A40" s="50" t="s">
        <v>95</v>
      </c>
      <c r="B40" s="51" t="s">
        <v>96</v>
      </c>
    </row>
    <row r="41" spans="1:2" x14ac:dyDescent="0.25">
      <c r="A41" s="50" t="s">
        <v>97</v>
      </c>
      <c r="B41" s="51" t="s">
        <v>98</v>
      </c>
    </row>
    <row r="42" spans="1:2" x14ac:dyDescent="0.25">
      <c r="A42" s="50" t="s">
        <v>99</v>
      </c>
      <c r="B42" s="51" t="s">
        <v>100</v>
      </c>
    </row>
    <row r="43" spans="1:2" x14ac:dyDescent="0.25">
      <c r="A43" s="50" t="s">
        <v>101</v>
      </c>
      <c r="B43" s="51" t="s">
        <v>102</v>
      </c>
    </row>
    <row r="44" spans="1:2" x14ac:dyDescent="0.25">
      <c r="A44" s="50" t="s">
        <v>103</v>
      </c>
      <c r="B44" s="51" t="s">
        <v>104</v>
      </c>
    </row>
    <row r="45" spans="1:2" x14ac:dyDescent="0.25">
      <c r="A45" s="50" t="s">
        <v>105</v>
      </c>
      <c r="B45" s="51" t="s">
        <v>106</v>
      </c>
    </row>
    <row r="46" spans="1:2" x14ac:dyDescent="0.25">
      <c r="A46" s="50" t="s">
        <v>107</v>
      </c>
      <c r="B46" s="51" t="s">
        <v>108</v>
      </c>
    </row>
    <row r="47" spans="1:2" x14ac:dyDescent="0.25">
      <c r="A47" s="50" t="s">
        <v>109</v>
      </c>
      <c r="B47" s="51" t="s">
        <v>110</v>
      </c>
    </row>
    <row r="48" spans="1:2" x14ac:dyDescent="0.25">
      <c r="A48" s="50" t="s">
        <v>111</v>
      </c>
      <c r="B48" s="51" t="s">
        <v>112</v>
      </c>
    </row>
    <row r="49" spans="1:2" x14ac:dyDescent="0.25">
      <c r="A49" s="50" t="s">
        <v>113</v>
      </c>
      <c r="B49" s="51" t="s">
        <v>114</v>
      </c>
    </row>
    <row r="50" spans="1:2" x14ac:dyDescent="0.25">
      <c r="A50" s="50" t="s">
        <v>115</v>
      </c>
      <c r="B50" s="51" t="s">
        <v>116</v>
      </c>
    </row>
    <row r="51" spans="1:2" x14ac:dyDescent="0.25">
      <c r="A51" s="50" t="s">
        <v>117</v>
      </c>
      <c r="B51" s="51" t="s">
        <v>118</v>
      </c>
    </row>
    <row r="52" spans="1:2" x14ac:dyDescent="0.25">
      <c r="A52" s="50" t="s">
        <v>119</v>
      </c>
      <c r="B52" s="51" t="s">
        <v>120</v>
      </c>
    </row>
    <row r="53" spans="1:2" x14ac:dyDescent="0.25">
      <c r="A53" s="50" t="s">
        <v>121</v>
      </c>
      <c r="B53" s="51" t="s">
        <v>122</v>
      </c>
    </row>
    <row r="54" spans="1:2" x14ac:dyDescent="0.25">
      <c r="A54" s="50" t="s">
        <v>123</v>
      </c>
      <c r="B54" s="51" t="s">
        <v>124</v>
      </c>
    </row>
    <row r="55" spans="1:2" x14ac:dyDescent="0.25">
      <c r="A55" s="50" t="s">
        <v>125</v>
      </c>
      <c r="B55" s="51" t="s">
        <v>126</v>
      </c>
    </row>
    <row r="56" spans="1:2" x14ac:dyDescent="0.25">
      <c r="A56" s="50" t="s">
        <v>127</v>
      </c>
      <c r="B56" s="51" t="s">
        <v>128</v>
      </c>
    </row>
    <row r="57" spans="1:2" x14ac:dyDescent="0.25">
      <c r="A57" s="50" t="s">
        <v>129</v>
      </c>
      <c r="B57" s="51" t="s">
        <v>130</v>
      </c>
    </row>
    <row r="58" spans="1:2" x14ac:dyDescent="0.25">
      <c r="A58" s="50" t="s">
        <v>131</v>
      </c>
      <c r="B58" s="51" t="s">
        <v>132</v>
      </c>
    </row>
    <row r="59" spans="1:2" x14ac:dyDescent="0.25">
      <c r="A59" s="50" t="s">
        <v>133</v>
      </c>
      <c r="B59" s="51" t="s">
        <v>134</v>
      </c>
    </row>
    <row r="60" spans="1:2" x14ac:dyDescent="0.25">
      <c r="A60" s="50" t="s">
        <v>135</v>
      </c>
      <c r="B60" s="51" t="s">
        <v>136</v>
      </c>
    </row>
    <row r="61" spans="1:2" x14ac:dyDescent="0.25">
      <c r="A61" s="50" t="s">
        <v>137</v>
      </c>
      <c r="B61" s="51" t="s">
        <v>138</v>
      </c>
    </row>
    <row r="62" spans="1:2" x14ac:dyDescent="0.25">
      <c r="A62" s="50" t="s">
        <v>139</v>
      </c>
      <c r="B62" s="51" t="s">
        <v>140</v>
      </c>
    </row>
    <row r="63" spans="1:2" x14ac:dyDescent="0.25">
      <c r="A63" s="50" t="s">
        <v>141</v>
      </c>
      <c r="B63" s="51" t="s">
        <v>142</v>
      </c>
    </row>
    <row r="64" spans="1:2" x14ac:dyDescent="0.25">
      <c r="A64" s="50" t="s">
        <v>143</v>
      </c>
      <c r="B64" s="51" t="s">
        <v>144</v>
      </c>
    </row>
    <row r="65" spans="1:2" x14ac:dyDescent="0.25">
      <c r="A65" s="50" t="s">
        <v>145</v>
      </c>
      <c r="B65" s="51" t="s">
        <v>146</v>
      </c>
    </row>
    <row r="66" spans="1:2" x14ac:dyDescent="0.25">
      <c r="A66" s="50" t="s">
        <v>147</v>
      </c>
      <c r="B66" s="51" t="s">
        <v>148</v>
      </c>
    </row>
    <row r="67" spans="1:2" x14ac:dyDescent="0.25">
      <c r="A67" s="50" t="s">
        <v>149</v>
      </c>
      <c r="B67" s="51" t="s">
        <v>150</v>
      </c>
    </row>
    <row r="68" spans="1:2" x14ac:dyDescent="0.25">
      <c r="A68" s="50" t="s">
        <v>151</v>
      </c>
      <c r="B68" s="51" t="s">
        <v>152</v>
      </c>
    </row>
    <row r="69" spans="1:2" x14ac:dyDescent="0.25">
      <c r="A69" s="50" t="s">
        <v>153</v>
      </c>
      <c r="B69" s="51" t="s">
        <v>154</v>
      </c>
    </row>
    <row r="70" spans="1:2" x14ac:dyDescent="0.25">
      <c r="A70" s="50" t="s">
        <v>155</v>
      </c>
      <c r="B70" s="51" t="s">
        <v>156</v>
      </c>
    </row>
    <row r="71" spans="1:2" x14ac:dyDescent="0.25">
      <c r="A71" s="50" t="s">
        <v>157</v>
      </c>
      <c r="B71" s="51" t="s">
        <v>158</v>
      </c>
    </row>
    <row r="72" spans="1:2" x14ac:dyDescent="0.25">
      <c r="A72" s="50" t="s">
        <v>159</v>
      </c>
      <c r="B72" s="51" t="s">
        <v>160</v>
      </c>
    </row>
    <row r="73" spans="1:2" x14ac:dyDescent="0.25">
      <c r="A73" s="50" t="s">
        <v>161</v>
      </c>
      <c r="B73" s="51" t="s">
        <v>162</v>
      </c>
    </row>
    <row r="74" spans="1:2" x14ac:dyDescent="0.25">
      <c r="A74" s="50" t="s">
        <v>163</v>
      </c>
      <c r="B74" s="51" t="s">
        <v>164</v>
      </c>
    </row>
    <row r="75" spans="1:2" x14ac:dyDescent="0.25">
      <c r="A75" s="50" t="s">
        <v>165</v>
      </c>
      <c r="B75" s="52" t="s">
        <v>166</v>
      </c>
    </row>
    <row r="76" spans="1:2" x14ac:dyDescent="0.25">
      <c r="A76" s="50" t="s">
        <v>167</v>
      </c>
      <c r="B76" s="52" t="s">
        <v>168</v>
      </c>
    </row>
    <row r="77" spans="1:2" x14ac:dyDescent="0.25">
      <c r="A77" s="50" t="s">
        <v>169</v>
      </c>
      <c r="B77" s="52" t="s">
        <v>170</v>
      </c>
    </row>
    <row r="78" spans="1:2" x14ac:dyDescent="0.25">
      <c r="A78" s="50" t="s">
        <v>171</v>
      </c>
      <c r="B78" s="52" t="s">
        <v>172</v>
      </c>
    </row>
    <row r="79" spans="1:2" x14ac:dyDescent="0.25">
      <c r="A79" s="50" t="s">
        <v>173</v>
      </c>
      <c r="B79" s="52" t="s">
        <v>174</v>
      </c>
    </row>
    <row r="80" spans="1:2" x14ac:dyDescent="0.25">
      <c r="A80" s="50" t="s">
        <v>175</v>
      </c>
      <c r="B80" s="52" t="s">
        <v>176</v>
      </c>
    </row>
    <row r="81" spans="1:2" x14ac:dyDescent="0.25">
      <c r="A81" s="50" t="s">
        <v>177</v>
      </c>
      <c r="B81" s="52" t="s">
        <v>178</v>
      </c>
    </row>
    <row r="82" spans="1:2" x14ac:dyDescent="0.25">
      <c r="A82" s="50" t="s">
        <v>179</v>
      </c>
      <c r="B82" s="52" t="s">
        <v>180</v>
      </c>
    </row>
    <row r="83" spans="1:2" x14ac:dyDescent="0.25">
      <c r="A83" s="50" t="s">
        <v>181</v>
      </c>
      <c r="B83" s="52" t="s">
        <v>182</v>
      </c>
    </row>
    <row r="84" spans="1:2" x14ac:dyDescent="0.25">
      <c r="A84" s="50" t="s">
        <v>183</v>
      </c>
      <c r="B84" s="52" t="s">
        <v>184</v>
      </c>
    </row>
    <row r="85" spans="1:2" x14ac:dyDescent="0.25">
      <c r="A85" s="50" t="s">
        <v>185</v>
      </c>
      <c r="B85" s="52" t="s">
        <v>186</v>
      </c>
    </row>
    <row r="86" spans="1:2" x14ac:dyDescent="0.25">
      <c r="A86" s="50" t="s">
        <v>187</v>
      </c>
      <c r="B86" s="52" t="s">
        <v>188</v>
      </c>
    </row>
    <row r="87" spans="1:2" x14ac:dyDescent="0.25">
      <c r="A87" s="50" t="s">
        <v>189</v>
      </c>
      <c r="B87" s="52" t="s">
        <v>190</v>
      </c>
    </row>
    <row r="88" spans="1:2" x14ac:dyDescent="0.25">
      <c r="A88" s="50" t="s">
        <v>191</v>
      </c>
      <c r="B88" s="52" t="s">
        <v>192</v>
      </c>
    </row>
    <row r="89" spans="1:2" x14ac:dyDescent="0.25">
      <c r="A89" s="50" t="s">
        <v>193</v>
      </c>
      <c r="B89" s="52" t="s">
        <v>194</v>
      </c>
    </row>
    <row r="90" spans="1:2" x14ac:dyDescent="0.25">
      <c r="A90" s="50" t="s">
        <v>195</v>
      </c>
      <c r="B90" s="52" t="s">
        <v>196</v>
      </c>
    </row>
    <row r="91" spans="1:2" x14ac:dyDescent="0.25">
      <c r="A91" s="50" t="s">
        <v>197</v>
      </c>
      <c r="B91" s="52" t="s">
        <v>198</v>
      </c>
    </row>
    <row r="92" spans="1:2" x14ac:dyDescent="0.25">
      <c r="A92" s="50" t="s">
        <v>199</v>
      </c>
      <c r="B92" s="52" t="s">
        <v>200</v>
      </c>
    </row>
    <row r="93" spans="1:2" x14ac:dyDescent="0.25">
      <c r="A93" s="50" t="s">
        <v>201</v>
      </c>
      <c r="B93" s="52" t="s">
        <v>202</v>
      </c>
    </row>
    <row r="94" spans="1:2" x14ac:dyDescent="0.25">
      <c r="A94" s="50" t="s">
        <v>203</v>
      </c>
      <c r="B94" s="52" t="s">
        <v>204</v>
      </c>
    </row>
    <row r="95" spans="1:2" x14ac:dyDescent="0.25">
      <c r="A95" s="50" t="s">
        <v>205</v>
      </c>
      <c r="B95" s="52" t="s">
        <v>206</v>
      </c>
    </row>
    <row r="96" spans="1:2" x14ac:dyDescent="0.25">
      <c r="A96" s="50" t="s">
        <v>207</v>
      </c>
      <c r="B96" s="52" t="s">
        <v>208</v>
      </c>
    </row>
    <row r="97" spans="1:2" x14ac:dyDescent="0.25">
      <c r="A97" s="50" t="s">
        <v>209</v>
      </c>
      <c r="B97" s="52" t="s">
        <v>210</v>
      </c>
    </row>
    <row r="98" spans="1:2" x14ac:dyDescent="0.25">
      <c r="A98" s="50" t="s">
        <v>211</v>
      </c>
      <c r="B98" s="52" t="s">
        <v>212</v>
      </c>
    </row>
    <row r="99" spans="1:2" x14ac:dyDescent="0.25">
      <c r="A99" s="50" t="s">
        <v>213</v>
      </c>
      <c r="B99" s="52" t="s">
        <v>214</v>
      </c>
    </row>
    <row r="100" spans="1:2" x14ac:dyDescent="0.25">
      <c r="A100" s="50" t="s">
        <v>215</v>
      </c>
      <c r="B100" s="52" t="s">
        <v>216</v>
      </c>
    </row>
    <row r="101" spans="1:2" x14ac:dyDescent="0.25">
      <c r="A101" s="50" t="s">
        <v>217</v>
      </c>
      <c r="B101" s="52" t="s">
        <v>218</v>
      </c>
    </row>
    <row r="102" spans="1:2" x14ac:dyDescent="0.25">
      <c r="A102" s="50" t="s">
        <v>219</v>
      </c>
      <c r="B102" s="52" t="s">
        <v>220</v>
      </c>
    </row>
    <row r="103" spans="1:2" x14ac:dyDescent="0.25">
      <c r="A103" s="50" t="s">
        <v>221</v>
      </c>
      <c r="B103" s="52" t="s">
        <v>222</v>
      </c>
    </row>
    <row r="104" spans="1:2" x14ac:dyDescent="0.25">
      <c r="A104" s="50" t="s">
        <v>223</v>
      </c>
      <c r="B104" s="52" t="s">
        <v>224</v>
      </c>
    </row>
    <row r="105" spans="1:2" x14ac:dyDescent="0.25">
      <c r="A105" s="50" t="s">
        <v>225</v>
      </c>
      <c r="B105" s="52" t="s">
        <v>226</v>
      </c>
    </row>
    <row r="106" spans="1:2" x14ac:dyDescent="0.25">
      <c r="A106" s="50" t="s">
        <v>227</v>
      </c>
      <c r="B106" s="52" t="s">
        <v>228</v>
      </c>
    </row>
    <row r="107" spans="1:2" x14ac:dyDescent="0.25">
      <c r="A107" s="50" t="s">
        <v>229</v>
      </c>
      <c r="B107" s="52" t="s">
        <v>230</v>
      </c>
    </row>
    <row r="108" spans="1:2" x14ac:dyDescent="0.25">
      <c r="A108" s="50" t="s">
        <v>231</v>
      </c>
      <c r="B108" s="52" t="s">
        <v>232</v>
      </c>
    </row>
    <row r="109" spans="1:2" x14ac:dyDescent="0.25">
      <c r="A109" s="50" t="s">
        <v>233</v>
      </c>
      <c r="B109" s="52" t="s">
        <v>234</v>
      </c>
    </row>
    <row r="110" spans="1:2" x14ac:dyDescent="0.25">
      <c r="A110" s="50" t="s">
        <v>235</v>
      </c>
      <c r="B110" s="52" t="s">
        <v>236</v>
      </c>
    </row>
    <row r="111" spans="1:2" x14ac:dyDescent="0.25">
      <c r="A111" s="50" t="s">
        <v>237</v>
      </c>
      <c r="B111" s="52" t="s">
        <v>238</v>
      </c>
    </row>
    <row r="112" spans="1:2" x14ac:dyDescent="0.25">
      <c r="A112" s="50" t="s">
        <v>239</v>
      </c>
      <c r="B112" s="52" t="s">
        <v>240</v>
      </c>
    </row>
    <row r="113" spans="1:2" x14ac:dyDescent="0.25">
      <c r="A113" s="50" t="s">
        <v>241</v>
      </c>
      <c r="B113" s="52" t="s">
        <v>242</v>
      </c>
    </row>
    <row r="114" spans="1:2" x14ac:dyDescent="0.25">
      <c r="A114" s="50" t="s">
        <v>243</v>
      </c>
      <c r="B114" s="52" t="s">
        <v>244</v>
      </c>
    </row>
    <row r="115" spans="1:2" x14ac:dyDescent="0.25">
      <c r="A115" s="50" t="s">
        <v>245</v>
      </c>
      <c r="B115" s="52" t="s">
        <v>246</v>
      </c>
    </row>
    <row r="116" spans="1:2" x14ac:dyDescent="0.25">
      <c r="A116" s="50" t="s">
        <v>247</v>
      </c>
      <c r="B116" s="52" t="s">
        <v>248</v>
      </c>
    </row>
    <row r="117" spans="1:2" x14ac:dyDescent="0.25">
      <c r="A117" s="50" t="s">
        <v>249</v>
      </c>
      <c r="B117" s="52" t="s">
        <v>250</v>
      </c>
    </row>
    <row r="118" spans="1:2" x14ac:dyDescent="0.25">
      <c r="A118" s="50" t="s">
        <v>251</v>
      </c>
      <c r="B118" s="52" t="s">
        <v>252</v>
      </c>
    </row>
    <row r="119" spans="1:2" x14ac:dyDescent="0.25">
      <c r="A119" s="50" t="s">
        <v>253</v>
      </c>
      <c r="B119" s="52" t="s">
        <v>254</v>
      </c>
    </row>
    <row r="120" spans="1:2" x14ac:dyDescent="0.25">
      <c r="A120" s="50" t="s">
        <v>255</v>
      </c>
      <c r="B120" s="52" t="s">
        <v>256</v>
      </c>
    </row>
    <row r="121" spans="1:2" x14ac:dyDescent="0.25">
      <c r="A121" s="50" t="s">
        <v>257</v>
      </c>
      <c r="B121" s="52" t="s">
        <v>258</v>
      </c>
    </row>
    <row r="122" spans="1:2" x14ac:dyDescent="0.25">
      <c r="A122" s="50" t="s">
        <v>259</v>
      </c>
      <c r="B122" s="52" t="s">
        <v>260</v>
      </c>
    </row>
    <row r="123" spans="1:2" x14ac:dyDescent="0.25">
      <c r="A123" s="50" t="s">
        <v>261</v>
      </c>
      <c r="B123" s="52" t="s">
        <v>262</v>
      </c>
    </row>
    <row r="124" spans="1:2" x14ac:dyDescent="0.25">
      <c r="A124" s="50" t="s">
        <v>263</v>
      </c>
      <c r="B124" s="52" t="s">
        <v>264</v>
      </c>
    </row>
    <row r="125" spans="1:2" x14ac:dyDescent="0.25">
      <c r="A125" s="50" t="s">
        <v>265</v>
      </c>
      <c r="B125" s="52" t="s">
        <v>266</v>
      </c>
    </row>
    <row r="126" spans="1:2" x14ac:dyDescent="0.25">
      <c r="A126" s="50" t="s">
        <v>267</v>
      </c>
      <c r="B126" s="52" t="s">
        <v>268</v>
      </c>
    </row>
    <row r="127" spans="1:2" x14ac:dyDescent="0.25">
      <c r="A127" s="50" t="s">
        <v>269</v>
      </c>
      <c r="B127" s="52" t="s">
        <v>270</v>
      </c>
    </row>
    <row r="128" spans="1:2" x14ac:dyDescent="0.25">
      <c r="A128" s="50" t="s">
        <v>271</v>
      </c>
      <c r="B128" s="52" t="s">
        <v>272</v>
      </c>
    </row>
    <row r="129" spans="1:2" x14ac:dyDescent="0.25">
      <c r="A129" s="50" t="s">
        <v>273</v>
      </c>
      <c r="B129" s="52" t="s">
        <v>274</v>
      </c>
    </row>
    <row r="130" spans="1:2" x14ac:dyDescent="0.25">
      <c r="A130" s="50" t="s">
        <v>275</v>
      </c>
      <c r="B130" s="52" t="s">
        <v>276</v>
      </c>
    </row>
    <row r="131" spans="1:2" x14ac:dyDescent="0.25">
      <c r="A131" s="50" t="s">
        <v>277</v>
      </c>
      <c r="B131" s="52" t="s">
        <v>278</v>
      </c>
    </row>
    <row r="132" spans="1:2" x14ac:dyDescent="0.25">
      <c r="A132" s="50" t="s">
        <v>279</v>
      </c>
      <c r="B132" s="52" t="s">
        <v>280</v>
      </c>
    </row>
    <row r="133" spans="1:2" x14ac:dyDescent="0.25">
      <c r="A133" s="50" t="s">
        <v>281</v>
      </c>
      <c r="B133" s="52" t="s">
        <v>282</v>
      </c>
    </row>
    <row r="134" spans="1:2" x14ac:dyDescent="0.25">
      <c r="A134" s="50" t="s">
        <v>283</v>
      </c>
      <c r="B134" s="52" t="s">
        <v>284</v>
      </c>
    </row>
    <row r="135" spans="1:2" x14ac:dyDescent="0.25">
      <c r="A135" s="50" t="s">
        <v>285</v>
      </c>
      <c r="B135" s="52" t="s">
        <v>286</v>
      </c>
    </row>
    <row r="136" spans="1:2" x14ac:dyDescent="0.25">
      <c r="A136" s="50" t="s">
        <v>287</v>
      </c>
      <c r="B136" s="52" t="s">
        <v>288</v>
      </c>
    </row>
    <row r="137" spans="1:2" x14ac:dyDescent="0.25">
      <c r="A137" s="50" t="s">
        <v>289</v>
      </c>
      <c r="B137" s="52" t="s">
        <v>290</v>
      </c>
    </row>
    <row r="138" spans="1:2" x14ac:dyDescent="0.25">
      <c r="A138" s="50" t="s">
        <v>291</v>
      </c>
      <c r="B138" s="52" t="s">
        <v>292</v>
      </c>
    </row>
    <row r="139" spans="1:2" x14ac:dyDescent="0.25">
      <c r="A139" s="50" t="s">
        <v>293</v>
      </c>
      <c r="B139" s="52" t="s">
        <v>294</v>
      </c>
    </row>
    <row r="140" spans="1:2" x14ac:dyDescent="0.25">
      <c r="A140" s="50" t="s">
        <v>295</v>
      </c>
      <c r="B140" s="52" t="s">
        <v>296</v>
      </c>
    </row>
    <row r="141" spans="1:2" x14ac:dyDescent="0.25">
      <c r="A141" s="50" t="s">
        <v>297</v>
      </c>
      <c r="B141" s="52" t="s">
        <v>298</v>
      </c>
    </row>
    <row r="142" spans="1:2" x14ac:dyDescent="0.25">
      <c r="A142" s="50" t="s">
        <v>299</v>
      </c>
      <c r="B142" s="52" t="s">
        <v>300</v>
      </c>
    </row>
    <row r="143" spans="1:2" x14ac:dyDescent="0.25">
      <c r="A143" s="50" t="s">
        <v>301</v>
      </c>
      <c r="B143" s="52" t="s">
        <v>302</v>
      </c>
    </row>
    <row r="144" spans="1:2" x14ac:dyDescent="0.25">
      <c r="A144" s="50" t="s">
        <v>303</v>
      </c>
      <c r="B144" s="53" t="s">
        <v>304</v>
      </c>
    </row>
    <row r="145" spans="1:2" x14ac:dyDescent="0.25">
      <c r="A145" s="50" t="s">
        <v>305</v>
      </c>
      <c r="B145" s="52" t="s">
        <v>306</v>
      </c>
    </row>
    <row r="146" spans="1:2" x14ac:dyDescent="0.25">
      <c r="A146" s="50" t="s">
        <v>307</v>
      </c>
      <c r="B146" s="52" t="s">
        <v>308</v>
      </c>
    </row>
    <row r="147" spans="1:2" x14ac:dyDescent="0.25">
      <c r="A147" s="50" t="s">
        <v>309</v>
      </c>
      <c r="B147" s="52" t="s">
        <v>310</v>
      </c>
    </row>
    <row r="148" spans="1:2" x14ac:dyDescent="0.25">
      <c r="A148" s="50" t="s">
        <v>311</v>
      </c>
      <c r="B148" s="52" t="s">
        <v>312</v>
      </c>
    </row>
    <row r="149" spans="1:2" x14ac:dyDescent="0.25">
      <c r="A149" s="50" t="s">
        <v>313</v>
      </c>
      <c r="B149" s="52" t="s">
        <v>314</v>
      </c>
    </row>
    <row r="150" spans="1:2" x14ac:dyDescent="0.25">
      <c r="A150" s="50" t="s">
        <v>315</v>
      </c>
      <c r="B150" s="52" t="s">
        <v>316</v>
      </c>
    </row>
    <row r="151" spans="1:2" x14ac:dyDescent="0.25">
      <c r="A151" s="50" t="s">
        <v>317</v>
      </c>
      <c r="B151" s="52" t="s">
        <v>318</v>
      </c>
    </row>
    <row r="152" spans="1:2" x14ac:dyDescent="0.25">
      <c r="A152" s="50" t="s">
        <v>319</v>
      </c>
      <c r="B152" s="52" t="s">
        <v>320</v>
      </c>
    </row>
    <row r="153" spans="1:2" x14ac:dyDescent="0.25">
      <c r="A153" s="50" t="s">
        <v>321</v>
      </c>
      <c r="B153" s="52" t="s">
        <v>322</v>
      </c>
    </row>
    <row r="154" spans="1:2" x14ac:dyDescent="0.25">
      <c r="A154" s="50" t="s">
        <v>323</v>
      </c>
      <c r="B154" s="52" t="s">
        <v>324</v>
      </c>
    </row>
    <row r="155" spans="1:2" x14ac:dyDescent="0.25">
      <c r="A155" s="50" t="s">
        <v>325</v>
      </c>
      <c r="B155" s="52" t="s">
        <v>326</v>
      </c>
    </row>
    <row r="156" spans="1:2" x14ac:dyDescent="0.25">
      <c r="A156" s="50" t="s">
        <v>327</v>
      </c>
      <c r="B156" s="52" t="s">
        <v>328</v>
      </c>
    </row>
    <row r="157" spans="1:2" x14ac:dyDescent="0.25">
      <c r="A157" s="50" t="s">
        <v>329</v>
      </c>
      <c r="B157" s="52" t="s">
        <v>330</v>
      </c>
    </row>
    <row r="158" spans="1:2" x14ac:dyDescent="0.25">
      <c r="A158" s="50" t="s">
        <v>331</v>
      </c>
      <c r="B158" s="52" t="s">
        <v>332</v>
      </c>
    </row>
    <row r="159" spans="1:2" x14ac:dyDescent="0.25">
      <c r="A159" s="50" t="s">
        <v>333</v>
      </c>
      <c r="B159" s="52" t="s">
        <v>334</v>
      </c>
    </row>
    <row r="160" spans="1:2" x14ac:dyDescent="0.25">
      <c r="A160" s="50" t="s">
        <v>335</v>
      </c>
      <c r="B160" s="52" t="s">
        <v>336</v>
      </c>
    </row>
    <row r="161" spans="1:2" x14ac:dyDescent="0.25">
      <c r="A161" s="50" t="s">
        <v>337</v>
      </c>
      <c r="B161" s="52" t="s">
        <v>338</v>
      </c>
    </row>
    <row r="162" spans="1:2" x14ac:dyDescent="0.25">
      <c r="A162" s="50" t="s">
        <v>339</v>
      </c>
      <c r="B162" s="52" t="s">
        <v>340</v>
      </c>
    </row>
    <row r="163" spans="1:2" x14ac:dyDescent="0.25">
      <c r="A163" s="50" t="s">
        <v>341</v>
      </c>
      <c r="B163" s="52" t="s">
        <v>342</v>
      </c>
    </row>
    <row r="164" spans="1:2" x14ac:dyDescent="0.25">
      <c r="A164" s="50" t="s">
        <v>343</v>
      </c>
      <c r="B164" s="52" t="s">
        <v>344</v>
      </c>
    </row>
    <row r="165" spans="1:2" x14ac:dyDescent="0.25">
      <c r="A165" s="50" t="s">
        <v>345</v>
      </c>
      <c r="B165" s="52" t="s">
        <v>346</v>
      </c>
    </row>
    <row r="166" spans="1:2" x14ac:dyDescent="0.25">
      <c r="A166" s="50" t="s">
        <v>347</v>
      </c>
      <c r="B166" s="52" t="s">
        <v>348</v>
      </c>
    </row>
    <row r="167" spans="1:2" x14ac:dyDescent="0.25">
      <c r="A167" s="50" t="s">
        <v>349</v>
      </c>
      <c r="B167" s="52" t="s">
        <v>350</v>
      </c>
    </row>
    <row r="168" spans="1:2" x14ac:dyDescent="0.25">
      <c r="A168" s="50" t="s">
        <v>351</v>
      </c>
      <c r="B168" s="52" t="s">
        <v>352</v>
      </c>
    </row>
    <row r="169" spans="1:2" x14ac:dyDescent="0.25">
      <c r="A169" s="50" t="s">
        <v>353</v>
      </c>
      <c r="B169" s="52" t="s">
        <v>354</v>
      </c>
    </row>
    <row r="170" spans="1:2" x14ac:dyDescent="0.25">
      <c r="A170" s="50" t="s">
        <v>355</v>
      </c>
      <c r="B170" s="5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Instructions</vt:lpstr>
      <vt:lpstr>1) Tableau budgétaire 1</vt:lpstr>
      <vt:lpstr>2) Tableau budgétaire 2</vt:lpstr>
      <vt:lpstr>IFR</vt:lpstr>
      <vt:lpstr>3) Notes d'explication</vt:lpstr>
      <vt:lpstr>4) Pour utilisation par PBSO</vt:lpstr>
      <vt:lpstr>5) Pour utilisation par MPTFO</vt:lpstr>
      <vt:lpstr>Dropdowns</vt:lpstr>
      <vt:lpstr>Sheet2</vt:lpstr>
      <vt:lpstr>'1) Tableau budgétaire 1'!Impression_des_titres</vt:lpstr>
      <vt:lpstr>'2) Tableau budgétaire 2'!Impression_des_titres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2021-11-08T06:56:13Z</cp:lastPrinted>
  <dcterms:created xsi:type="dcterms:W3CDTF">2017-11-15T21:17:43Z</dcterms:created>
  <dcterms:modified xsi:type="dcterms:W3CDTF">2022-06-08T07:52:48Z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