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ppoline.uwimbabazi\Desktop\PBF Secretariat\PBF secretariat\Rapports et CR\Rapports de juin 2021\Participation citoyenne-UNICEF-PNUD-HCDH-PAM\"/>
    </mc:Choice>
  </mc:AlternateContent>
  <xr:revisionPtr revIDLastSave="0" documentId="13_ncr:1_{D5A46A3B-C369-4A12-8D33-1152628E10A3}" xr6:coauthVersionLast="45" xr6:coauthVersionMax="45" xr10:uidLastSave="{00000000-0000-0000-0000-000000000000}"/>
  <bookViews>
    <workbookView xWindow="-110" yWindow="-110" windowWidth="19420" windowHeight="10420" activeTab="1" xr2:uid="{00000000-000D-0000-FFFF-FFFF00000000}"/>
  </bookViews>
  <sheets>
    <sheet name="Budget par resultats" sheetId="1" r:id="rId1"/>
    <sheet name="Budget par categorie" sheetId="2" r:id="rId2"/>
  </sheets>
  <externalReferences>
    <externalReference r:id="rId3"/>
  </externalReferences>
  <definedNames>
    <definedName name="_xlnm.Print_Area" localSheetId="1">'Budget par categorie'!#REF!</definedName>
    <definedName name="_xlnm.Print_Area" localSheetId="0">'Budget par resultats'!$A$1:$M$57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6" i="2" l="1"/>
  <c r="L50" i="1"/>
  <c r="U6" i="2" l="1"/>
  <c r="M6" i="2"/>
  <c r="V6" i="2" l="1"/>
  <c r="U11" i="2" l="1"/>
  <c r="U12" i="2"/>
  <c r="U7" i="2"/>
  <c r="U8" i="2"/>
  <c r="U9" i="2"/>
  <c r="U10" i="2"/>
  <c r="T15" i="2"/>
  <c r="T14" i="2"/>
  <c r="T13" i="2"/>
  <c r="S15" i="2"/>
  <c r="S14" i="2"/>
  <c r="S13" i="2"/>
  <c r="T7" i="2"/>
  <c r="T8" i="2"/>
  <c r="T9" i="2"/>
  <c r="T10" i="2"/>
  <c r="T11" i="2"/>
  <c r="T12" i="2"/>
  <c r="T6" i="2"/>
  <c r="L6" i="2"/>
  <c r="Q15" i="2"/>
  <c r="Q14" i="2"/>
  <c r="Q13" i="2"/>
  <c r="AA12" i="2" l="1"/>
  <c r="AA11" i="2"/>
  <c r="AA10" i="2"/>
  <c r="AA9" i="2"/>
  <c r="AA7" i="2"/>
  <c r="AA13" i="2" s="1"/>
  <c r="H51" i="1"/>
  <c r="Z13" i="2" l="1"/>
  <c r="Z15" i="2" s="1"/>
  <c r="M12" i="2"/>
  <c r="L12" i="2"/>
  <c r="M11" i="2"/>
  <c r="L11" i="2"/>
  <c r="M10" i="2"/>
  <c r="L10" i="2"/>
  <c r="L9" i="2"/>
  <c r="M8" i="2"/>
  <c r="L8" i="2"/>
  <c r="M7" i="2"/>
  <c r="L7" i="2"/>
  <c r="K6" i="2"/>
  <c r="K13" i="2" s="1"/>
  <c r="H13" i="2"/>
  <c r="I9" i="2"/>
  <c r="I13" i="2" s="1"/>
  <c r="I14" i="2" s="1"/>
  <c r="I15" i="2" s="1"/>
  <c r="M9" i="2" l="1"/>
  <c r="M13" i="2" s="1"/>
  <c r="M14" i="2" s="1"/>
  <c r="M15" i="2" s="1"/>
  <c r="L13" i="2"/>
  <c r="L14" i="2" s="1"/>
  <c r="L15" i="2" s="1"/>
  <c r="K14" i="2"/>
  <c r="K15" i="2" s="1"/>
  <c r="W9" i="2" l="1"/>
  <c r="V9" i="2"/>
  <c r="AC12" i="2" l="1"/>
  <c r="AC11" i="2"/>
  <c r="AC9" i="2"/>
  <c r="AC8" i="2"/>
  <c r="AC7" i="2"/>
  <c r="Y6" i="2"/>
  <c r="Y13" i="2" s="1"/>
  <c r="I35" i="1"/>
  <c r="I27" i="1"/>
  <c r="I21" i="1"/>
  <c r="I14" i="1"/>
  <c r="F50" i="1"/>
  <c r="F55" i="1" s="1"/>
  <c r="AB13" i="2"/>
  <c r="AB15" i="2" s="1"/>
  <c r="AA15" i="2"/>
  <c r="R13" i="2"/>
  <c r="R14" i="2" s="1"/>
  <c r="P13" i="2"/>
  <c r="O13" i="2"/>
  <c r="N13" i="2"/>
  <c r="J13" i="2"/>
  <c r="H14" i="2"/>
  <c r="D13" i="2"/>
  <c r="B13" i="2"/>
  <c r="W12" i="2"/>
  <c r="V12" i="2"/>
  <c r="F12" i="2"/>
  <c r="C12" i="2"/>
  <c r="E12" i="2" s="1"/>
  <c r="W11" i="2"/>
  <c r="V11" i="2"/>
  <c r="F11" i="2"/>
  <c r="C11" i="2"/>
  <c r="E11" i="2" s="1"/>
  <c r="G11" i="2" s="1"/>
  <c r="AC10" i="2"/>
  <c r="W10" i="2"/>
  <c r="V10" i="2"/>
  <c r="F10" i="2"/>
  <c r="C10" i="2"/>
  <c r="E10" i="2" s="1"/>
  <c r="G10" i="2" s="1"/>
  <c r="X9" i="2"/>
  <c r="F9" i="2"/>
  <c r="C9" i="2"/>
  <c r="E9" i="2" s="1"/>
  <c r="G9" i="2" s="1"/>
  <c r="W8" i="2"/>
  <c r="V8" i="2"/>
  <c r="F8" i="2"/>
  <c r="E8" i="2"/>
  <c r="G8" i="2" s="1"/>
  <c r="W7" i="2"/>
  <c r="V7" i="2"/>
  <c r="F7" i="2"/>
  <c r="E7" i="2"/>
  <c r="G7" i="2" s="1"/>
  <c r="W6" i="2"/>
  <c r="F6" i="2"/>
  <c r="E6" i="2"/>
  <c r="G6" i="2" s="1"/>
  <c r="L54" i="1"/>
  <c r="L52" i="1"/>
  <c r="L53" i="1"/>
  <c r="L51" i="1"/>
  <c r="L55" i="1" s="1"/>
  <c r="L49" i="1"/>
  <c r="K50" i="1"/>
  <c r="J50" i="1"/>
  <c r="I50" i="1"/>
  <c r="H50" i="1"/>
  <c r="L47" i="1"/>
  <c r="L45" i="1"/>
  <c r="L40" i="1"/>
  <c r="H41" i="1"/>
  <c r="I41" i="1"/>
  <c r="J41" i="1"/>
  <c r="K41" i="1"/>
  <c r="L38" i="1"/>
  <c r="L39" i="1"/>
  <c r="L37" i="1"/>
  <c r="L34" i="1"/>
  <c r="L33" i="1"/>
  <c r="L32" i="1"/>
  <c r="L31" i="1"/>
  <c r="H35" i="1"/>
  <c r="J35" i="1"/>
  <c r="K35" i="1"/>
  <c r="L24" i="1"/>
  <c r="L25" i="1"/>
  <c r="L26" i="1"/>
  <c r="L23" i="1"/>
  <c r="K27" i="1"/>
  <c r="J27" i="1"/>
  <c r="H27" i="1"/>
  <c r="E27" i="1"/>
  <c r="J21" i="1"/>
  <c r="L17" i="1"/>
  <c r="L18" i="1"/>
  <c r="L19" i="1"/>
  <c r="L20" i="1"/>
  <c r="L16" i="1"/>
  <c r="L13" i="1"/>
  <c r="K21" i="1"/>
  <c r="K28" i="1" s="1"/>
  <c r="H21" i="1"/>
  <c r="L11" i="1"/>
  <c r="L12" i="1"/>
  <c r="L10" i="1"/>
  <c r="K14" i="1"/>
  <c r="J14" i="1"/>
  <c r="H14" i="1"/>
  <c r="E14" i="1"/>
  <c r="E28" i="1" s="1"/>
  <c r="N54" i="1"/>
  <c r="O54" i="1" s="1"/>
  <c r="N53" i="1"/>
  <c r="O53" i="1"/>
  <c r="N52" i="1"/>
  <c r="O52" i="1" s="1"/>
  <c r="N51" i="1"/>
  <c r="O51" i="1"/>
  <c r="N49" i="1"/>
  <c r="O49" i="1"/>
  <c r="N47" i="1"/>
  <c r="O47" i="1"/>
  <c r="N45" i="1"/>
  <c r="O45" i="1" s="1"/>
  <c r="N40" i="1"/>
  <c r="O40" i="1"/>
  <c r="N39" i="1"/>
  <c r="O39" i="1" s="1"/>
  <c r="N38" i="1"/>
  <c r="O38" i="1"/>
  <c r="N37" i="1"/>
  <c r="O37" i="1" s="1"/>
  <c r="N34" i="1"/>
  <c r="O34" i="1" s="1"/>
  <c r="N33" i="1"/>
  <c r="O33" i="1" s="1"/>
  <c r="N32" i="1"/>
  <c r="O32" i="1"/>
  <c r="N31" i="1"/>
  <c r="O31" i="1"/>
  <c r="N26" i="1"/>
  <c r="O26" i="1" s="1"/>
  <c r="N25" i="1"/>
  <c r="O25" i="1"/>
  <c r="N24" i="1"/>
  <c r="O24" i="1"/>
  <c r="N23" i="1"/>
  <c r="O23" i="1"/>
  <c r="N20" i="1"/>
  <c r="O20" i="1" s="1"/>
  <c r="N19" i="1"/>
  <c r="O19" i="1" s="1"/>
  <c r="N18" i="1"/>
  <c r="O18" i="1" s="1"/>
  <c r="N17" i="1"/>
  <c r="O17" i="1"/>
  <c r="N16" i="1"/>
  <c r="O16" i="1" s="1"/>
  <c r="N13" i="1"/>
  <c r="O13" i="1" s="1"/>
  <c r="N12" i="1"/>
  <c r="O12" i="1"/>
  <c r="N11" i="1"/>
  <c r="O11" i="1"/>
  <c r="N10" i="1"/>
  <c r="O10" i="1" s="1"/>
  <c r="D21" i="1"/>
  <c r="D50" i="1"/>
  <c r="B50" i="1" s="1"/>
  <c r="D27" i="1"/>
  <c r="C35" i="1"/>
  <c r="D41" i="1"/>
  <c r="D35" i="1"/>
  <c r="D42" i="1" s="1"/>
  <c r="E35" i="1"/>
  <c r="E41" i="1"/>
  <c r="C27" i="1"/>
  <c r="B27" i="1" s="1"/>
  <c r="E21" i="1"/>
  <c r="C21" i="1"/>
  <c r="D14" i="1"/>
  <c r="C14" i="1"/>
  <c r="C50" i="1"/>
  <c r="E50" i="1"/>
  <c r="C41" i="1"/>
  <c r="B41" i="1" s="1"/>
  <c r="X7" i="2" l="1"/>
  <c r="X6" i="2"/>
  <c r="X10" i="2"/>
  <c r="B14" i="2"/>
  <c r="B15" i="2" s="1"/>
  <c r="Y14" i="2"/>
  <c r="AC14" i="2" s="1"/>
  <c r="L41" i="1"/>
  <c r="L27" i="1"/>
  <c r="L21" i="1"/>
  <c r="I28" i="1"/>
  <c r="P14" i="2"/>
  <c r="P15" i="2" s="1"/>
  <c r="N14" i="2"/>
  <c r="N15" i="2" s="1"/>
  <c r="C28" i="1"/>
  <c r="J28" i="1"/>
  <c r="V13" i="2"/>
  <c r="V14" i="2" s="1"/>
  <c r="X8" i="2"/>
  <c r="X12" i="2"/>
  <c r="E42" i="1"/>
  <c r="B21" i="1"/>
  <c r="B35" i="1"/>
  <c r="L14" i="1"/>
  <c r="H28" i="1"/>
  <c r="C42" i="1"/>
  <c r="C55" i="1" s="1"/>
  <c r="D28" i="1"/>
  <c r="B28" i="1" s="1"/>
  <c r="O55" i="1"/>
  <c r="E55" i="1"/>
  <c r="F56" i="1"/>
  <c r="F57" i="1" s="1"/>
  <c r="B42" i="1"/>
  <c r="W13" i="2"/>
  <c r="W14" i="2" s="1"/>
  <c r="W15" i="2" s="1"/>
  <c r="D14" i="2"/>
  <c r="D15" i="2" s="1"/>
  <c r="J42" i="1"/>
  <c r="X11" i="2"/>
  <c r="I42" i="1"/>
  <c r="B14" i="1"/>
  <c r="H42" i="1"/>
  <c r="H55" i="1" s="1"/>
  <c r="F13" i="2"/>
  <c r="F14" i="2" s="1"/>
  <c r="F15" i="2" s="1"/>
  <c r="R15" i="2"/>
  <c r="J14" i="2"/>
  <c r="J15" i="2" s="1"/>
  <c r="K55" i="1"/>
  <c r="K57" i="1" s="1"/>
  <c r="H15" i="2"/>
  <c r="G12" i="2"/>
  <c r="G13" i="2" s="1"/>
  <c r="C13" i="2"/>
  <c r="O14" i="2"/>
  <c r="O15" i="2" s="1"/>
  <c r="E13" i="2"/>
  <c r="AC13" i="2"/>
  <c r="L35" i="1"/>
  <c r="H56" i="1" l="1"/>
  <c r="D55" i="1"/>
  <c r="D56" i="1" s="1"/>
  <c r="D57" i="1" s="1"/>
  <c r="AC15" i="2"/>
  <c r="Y15" i="2"/>
  <c r="L28" i="1"/>
  <c r="L42" i="1"/>
  <c r="I55" i="1"/>
  <c r="V15" i="2"/>
  <c r="X13" i="2"/>
  <c r="X14" i="2" s="1"/>
  <c r="X15" i="2" s="1"/>
  <c r="J55" i="1"/>
  <c r="J57" i="1" s="1"/>
  <c r="C56" i="1"/>
  <c r="C57" i="1"/>
  <c r="E56" i="1"/>
  <c r="E57" i="1" s="1"/>
  <c r="G14" i="2"/>
  <c r="G15" i="2" s="1"/>
  <c r="E14" i="2"/>
  <c r="E15" i="2" s="1"/>
  <c r="C14" i="2"/>
  <c r="C15" i="2" s="1"/>
  <c r="H57" i="1" l="1"/>
  <c r="L56" i="1"/>
  <c r="B55" i="1"/>
  <c r="I56" i="1"/>
  <c r="B57" i="1"/>
  <c r="B56" i="1"/>
  <c r="L57" i="1" l="1"/>
  <c r="I57" i="1"/>
  <c r="U13" i="2"/>
  <c r="U14" i="2" s="1"/>
  <c r="U1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Baliens Caldet</author>
    <author>Utilisateur Windows</author>
    <author>Narre Ngamada</author>
    <author>tc={3F25F687-5129-4233-842F-89C6052645AB}</author>
  </authors>
  <commentList>
    <comment ref="G6" authorId="0" shapeId="0" xr:uid="{00000000-0006-0000-0100-000001000000}">
      <text>
        <r>
          <rPr>
            <b/>
            <sz val="9"/>
            <color indexed="81"/>
            <rFont val="Tahoma"/>
            <family val="2"/>
          </rPr>
          <t>Administrator:</t>
        </r>
        <r>
          <rPr>
            <sz val="9"/>
            <color indexed="81"/>
            <rFont val="Tahoma"/>
            <family val="2"/>
          </rPr>
          <t xml:space="preserve">
Légère augmentation à partir de la catégorie 7, due à l'usage des catégories diffèrentes dans le système UNICEF.</t>
        </r>
      </text>
    </comment>
    <comment ref="Z6" authorId="1" shapeId="0" xr:uid="{FC8134DC-70E6-4A40-B15D-52034FDD0A58}">
      <text>
        <r>
          <rPr>
            <sz val="9"/>
            <color indexed="81"/>
            <rFont val="Tahoma"/>
            <family val="2"/>
          </rPr>
          <t xml:space="preserve">Le payroll enregistré sur les comptes de cette catégégorie n'a pas a été correctement reclassifié, raison pour laquelle le total des dépenses est négatif. Toutefois, une régularisation correcte est faite en 2021 et le second rapport financier aura les dépenses de la catégorie 1 
</t>
        </r>
      </text>
    </comment>
    <comment ref="G7" authorId="0" shapeId="0" xr:uid="{00000000-0006-0000-0100-000002000000}">
      <text>
        <r>
          <rPr>
            <b/>
            <sz val="9"/>
            <color indexed="81"/>
            <rFont val="Tahoma"/>
            <family val="2"/>
          </rPr>
          <t>Administrator:</t>
        </r>
        <r>
          <rPr>
            <sz val="9"/>
            <color indexed="81"/>
            <rFont val="Tahoma"/>
            <family val="2"/>
          </rPr>
          <t xml:space="preserve">
Augmentation à partir de la catégorie 5, due à l'usage des catégories diffèrentes dans le système UNICEF. </t>
        </r>
      </text>
    </comment>
    <comment ref="Z8" authorId="2" shapeId="0" xr:uid="{6B215D90-383B-45F5-A4C8-65FBC626C29D}">
      <text>
        <r>
          <rPr>
            <sz val="9"/>
            <color indexed="81"/>
            <rFont val="Tahoma"/>
            <family val="2"/>
          </rPr>
          <t xml:space="preserve">
Le dépassement est constaté suite à une écriture comptable inadéquate que le projet PNUD a  régularisé dans le système Atlas en 2021. Le second rapport financier portera la correction et il n'y aura pas cet écart négatif</t>
        </r>
      </text>
    </comment>
    <comment ref="G9" authorId="0" shapeId="0" xr:uid="{00000000-0006-0000-0100-000004000000}">
      <text>
        <r>
          <rPr>
            <b/>
            <sz val="9"/>
            <color indexed="81"/>
            <rFont val="Tahoma"/>
            <family val="2"/>
          </rPr>
          <t>Administrator:</t>
        </r>
        <r>
          <rPr>
            <sz val="9"/>
            <color indexed="81"/>
            <rFont val="Tahoma"/>
            <family val="2"/>
          </rPr>
          <t xml:space="preserve">
Augmentation, a partir des categories 6 et 7, due à l'usage des catégories différentes dans le système UNICEF. La mise en oeuvre des activités planifiées de communication et visbilité se fera par les services contractuels et le recrutement d'un  consultant</t>
        </r>
      </text>
    </comment>
    <comment ref="I9" authorId="3" shapeId="0" xr:uid="{FCD7E4E2-950E-4CE1-99FA-7590A3AD8426}">
      <text>
        <r>
          <rPr>
            <b/>
            <sz val="9"/>
            <color indexed="81"/>
            <rFont val="Tahoma"/>
            <family val="2"/>
          </rPr>
          <t>Narre Ngamada:</t>
        </r>
        <r>
          <rPr>
            <sz val="9"/>
            <color indexed="81"/>
            <rFont val="Tahoma"/>
            <family val="2"/>
          </rPr>
          <t xml:space="preserve">
Il y'a eu reclassification des dépenses par rapport aux catégories, car certaines activités qui etaient classifiées dans les subventions ont été réalisés avec des partenaires en contrats</t>
        </r>
      </text>
    </comment>
    <comment ref="Z9" authorId="1" shapeId="0" xr:uid="{07C71B39-5EC3-4833-99B1-0FC69E6B23DA}">
      <text>
        <r>
          <rPr>
            <sz val="9"/>
            <color indexed="81"/>
            <rFont val="Tahoma"/>
            <family val="2"/>
          </rPr>
          <t xml:space="preserve">
La planification bugétaire initiale n'était pas faite conformément aux catégories des dépenses de l'UNDG. Ainsi, les dépenses réalisées sont plus regroupées dans cette catégorie 4, comptes classe 7, y compris d'autres activités qui étaient considérées au départ comme des subventions de la catégorie 6). Une régularisation est faite en 2021 en vue d'affecter les dépenses vers leurs catégories</t>
        </r>
      </text>
    </comment>
    <comment ref="G10" authorId="0" shapeId="0" xr:uid="{00000000-0006-0000-0100-000005000000}">
      <text>
        <r>
          <rPr>
            <b/>
            <sz val="9"/>
            <color indexed="81"/>
            <rFont val="Tahoma"/>
            <family val="2"/>
          </rPr>
          <t>Administrator:</t>
        </r>
        <r>
          <rPr>
            <sz val="9"/>
            <color indexed="81"/>
            <rFont val="Tahoma"/>
            <family val="2"/>
          </rPr>
          <t xml:space="preserve">
La différence du montant est inclue  dans la catégorie 2 pour la mise en oeuvre de l'évaluation </t>
        </r>
      </text>
    </comment>
    <comment ref="G11" authorId="0" shapeId="0" xr:uid="{00000000-0006-0000-0100-000006000000}">
      <text>
        <r>
          <rPr>
            <b/>
            <sz val="9"/>
            <color indexed="81"/>
            <rFont val="Tahoma"/>
            <family val="2"/>
          </rPr>
          <t>Administrator:</t>
        </r>
        <r>
          <rPr>
            <sz val="9"/>
            <color indexed="81"/>
            <rFont val="Tahoma"/>
            <family val="2"/>
          </rPr>
          <t xml:space="preserve">
La différence du montant est inclue dans la catégorie 4, pour le recrutement d'un consultant pour l’appui à la réalisation des activités planifiées.</t>
        </r>
      </text>
    </comment>
    <comment ref="Y11" authorId="4" shapeId="0" xr:uid="{3F25F687-5129-4233-842F-89C6052645AB}">
      <text>
        <t>[Threaded comment]
Your version of Excel allows you to read this threaded comment; however, any edits to it will get removed if the file is opened in a newer version of Excel. Learn more: https://go.microsoft.com/fwlink/?linkid=870924
Comment:
    Le surplus de 89,363.71 est reparti comme suit:
50,000 UDS pris sur les categories 2 (20,000) et 3 (30,000) car UNICEF a utilise ses propres; et ce montant a ete transfere au PE pour l'organisation des dialogues communautaires                         39,363.71 USD pris sur la categorie 4 et transfere au PE pour faire le suivi des activites pendant durrant les mesures restrictives COVID19</t>
      </text>
    </comment>
    <comment ref="G12" authorId="0" shapeId="0" xr:uid="{00000000-0006-0000-0100-000008000000}">
      <text>
        <r>
          <rPr>
            <b/>
            <sz val="9"/>
            <color indexed="81"/>
            <rFont val="Tahoma"/>
            <family val="2"/>
          </rPr>
          <t>Administrator:</t>
        </r>
        <r>
          <rPr>
            <sz val="9"/>
            <color indexed="81"/>
            <rFont val="Tahoma"/>
            <family val="2"/>
          </rPr>
          <t xml:space="preserve">
La différence du montant a ete reversee dans les categories 1 et 4 pour tenir compte des differences de categories dans le systeme d'UNICEF </t>
        </r>
      </text>
    </comment>
    <comment ref="I12" authorId="1" shapeId="0" xr:uid="{06D5872B-58AE-4818-8DE2-C906E38FBFC3}">
      <text>
        <r>
          <rPr>
            <sz val="9"/>
            <color indexed="81"/>
            <rFont val="Tahoma"/>
            <family val="2"/>
          </rPr>
          <t xml:space="preserve">
Il y a des comptes des dépenses faites pour les autres catégories mais qui sont regroupées dans le catégorie 7 par l'UNDG</t>
        </r>
      </text>
    </comment>
    <comment ref="Z12" authorId="1" shapeId="0" xr:uid="{BF3C68C5-15B5-4F5A-ACB3-3682FB7E7814}">
      <text>
        <r>
          <rPr>
            <b/>
            <sz val="9"/>
            <color indexed="81"/>
            <rFont val="Tahoma"/>
            <family val="2"/>
          </rPr>
          <t>Baliens Caldet:</t>
        </r>
        <r>
          <rPr>
            <sz val="9"/>
            <color indexed="81"/>
            <rFont val="Tahoma"/>
            <family val="2"/>
          </rPr>
          <t xml:space="preserve">
Catégorie des dépenses régularisée en 2021 étant donné qu'il y avait inadéquation d'affectation de ligne budgétaire.</t>
        </r>
      </text>
    </comment>
  </commentList>
</comments>
</file>

<file path=xl/sharedStrings.xml><?xml version="1.0" encoding="utf-8"?>
<sst xmlns="http://schemas.openxmlformats.org/spreadsheetml/2006/main" count="149" uniqueCount="125">
  <si>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</si>
  <si>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</si>
  <si>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</si>
  <si>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</si>
  <si>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</si>
  <si>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HCDH</t>
  </si>
  <si>
    <t>UNICEF</t>
  </si>
  <si>
    <t>PNUD</t>
  </si>
  <si>
    <t>PAM</t>
  </si>
  <si>
    <t xml:space="preserve">Pourcentage du budget pour chaque produit ou activite reserve pour action directe sur le genre (cas echeant) </t>
  </si>
  <si>
    <t>Niveau de dépense actuel  HCDH</t>
  </si>
  <si>
    <t>Niveau de dépense actuel UNICEF</t>
  </si>
  <si>
    <t>Niveau de dépense actuel PNUD</t>
  </si>
  <si>
    <t>Niveau de dépense actuel PAM</t>
  </si>
  <si>
    <r>
      <t xml:space="preserve">Niveau de depense/ engagement actuel en USD total de 4 agences </t>
    </r>
    <r>
      <rPr>
        <sz val="9"/>
        <color theme="1"/>
        <rFont val="Times New Roman"/>
        <family val="1"/>
      </rPr>
      <t>(a remplir au moment des rapports de projet)</t>
    </r>
  </si>
  <si>
    <r>
      <t xml:space="preserve">Notes quelconque le cas echeant </t>
    </r>
    <r>
      <rPr>
        <sz val="9"/>
        <color theme="1"/>
        <rFont val="Times New Roman"/>
        <family val="1"/>
      </rPr>
      <t>(e.g sur types des entrants ou justification du budget)</t>
    </r>
  </si>
  <si>
    <t>Resultat 1: L’environnement légal favorable contribue à la participation des jeunes femmes et des hommes et des femmes à la gouvernance locale pour la consolidation de la paix</t>
  </si>
  <si>
    <t>Produit 1.1: L’opérationnalisation des résolutions 1325-2250 et des stratégies nationale du Genre et de la jeunes favorisent la participation des jeunes,  femmes et hommes y compris des personnes déplacées à la gouvernance locale, à l’accès à la justice et au processus de consolidation de la paix à N’Djaména et dans la région du Lac.</t>
  </si>
  <si>
    <t>Activite 1.1.1:</t>
  </si>
  <si>
    <t>Appuyer le processus d’opérationnalisation des Résolutions 1325 et 2250 et les stratégies genre et jeunesse du Tchad</t>
  </si>
  <si>
    <t>Activite 1.1.2:</t>
  </si>
  <si>
    <t xml:space="preserve">Renforcer les capacités des leaders communautaires, mouvements et organisations des femmes et des jeunes en plaidoyer public en vue de leur participation croissante dans les processus et instances de gouvernance locale. </t>
  </si>
  <si>
    <t>Activite 1.1.3:</t>
  </si>
  <si>
    <t>Appuyer la sensibilisation à travers les émissions radios des jeunes hommes, femmes âgées de 15 à 35 ans, femmes rurales et vulnérables (déplacées, retournées et refugiées) sur la coexistence pacifique et le recours à la justice et le respect des droits humains</t>
  </si>
  <si>
    <t>Activite 1.1.4 :</t>
  </si>
  <si>
    <t xml:space="preserve">Appuyer la mise en place des bureaux d'aide juridique et l'assistance judiciaire pour l'accompagnement des jeunes hommes, femmes âgées de 15 à 35 ans, femmes rurales et vulnérables (déplacées, retournées et refugiées) pour l’accès à leurs droits dans les systèmes de justice formels et informels existants. </t>
  </si>
  <si>
    <t>Total Produit 1,1</t>
  </si>
  <si>
    <t>Produit 1.2: Les leaders de la société civile, les jeunes femmes et hommes y compris les femmes connaissent les processus et procédures légales de participation citoyenne et engagent des initiatives pour la cohésion sociale et à la prise de décision au sein des espaces de gouvernance locale à N’djaména, à Moundou et dans la région du Lac.</t>
  </si>
  <si>
    <t>Activite 1.2.1:</t>
  </si>
  <si>
    <t>Production des supports de communication sur la citoyennete et la cohesion sociale</t>
  </si>
  <si>
    <t>Activite 1.2.2:</t>
  </si>
  <si>
    <t>Mise en place de U_Report pour echange entre les jeunes sur la citoyennete et la cohesion sociale; organisation  des journée d'information sur les conditions de particpation aux élections législatives locales et communales</t>
  </si>
  <si>
    <t>Activite 1.2.3:</t>
  </si>
  <si>
    <t>Mise en de la plateforme des jeunes leaders des partis politiques pour la promotion de dialogue apaisé et sans violence lors des élections</t>
  </si>
  <si>
    <t>Activite 1.2.4:</t>
  </si>
  <si>
    <t>Organiser une compétition communale des organisations à base communautaire pour des actions de cohésion sociale et de gouvernance locale</t>
  </si>
  <si>
    <t>Activite 1.2.5:</t>
  </si>
  <si>
    <t>Former les jeunes femmes et hommes sur les processus et procédures de participation au fonctionnement des organes décentralisés (Mairie, conseil régional)</t>
  </si>
  <si>
    <t>Total Produit 1.2</t>
  </si>
  <si>
    <t>Produit 1.3: La gouvernance locale, l’Etat de droit et la cohésion sociale est améliorée à N’Djamena et dans la région du Lac par des instances de dialogues communautaires qui fonctionnent de manière participative, inclusive et dans le respect de l’équité et des droits fondamentaux de l’homme</t>
  </si>
  <si>
    <t>Activite 1.3.1:</t>
  </si>
  <si>
    <t>Appuyer le plaidoyer auprès des leaders traditionnels et religieux pour l’inclusion des jeunes femmes,       hommes, déplacés internes aux mécanismes de gouvernance locale</t>
  </si>
  <si>
    <t>Activite 1.3.2:</t>
  </si>
  <si>
    <t>Former les leaders traditionnels, religieux et les forces de l'ordre et de sur la prévention, la résolution pacifique des conflits, l’écocitoyenneté, la gestion participative et rationnelle et équitable des ressources foncières.</t>
  </si>
  <si>
    <t>Activite 1.3.3:</t>
  </si>
  <si>
    <t>Mise en place des plateformes de dialogue et d’échange entre leaders/autorités et associations des femmes et des jeunes</t>
  </si>
  <si>
    <t>Activite 1.3.4:</t>
  </si>
  <si>
    <t>Appui à la tenue des audiences foraines en matière de délivrance des actes de naissance pour promouvoir le droit à la nationalité</t>
  </si>
  <si>
    <t>Total Produit 1.3</t>
  </si>
  <si>
    <t>TOTAL $ pour Resultat 1:</t>
  </si>
  <si>
    <t>Resultat 2: Les autorités, les acteurs locaux et la communauté en général (20.0000 bénéficiaires), les jeunes femmes et hommes, les femmes sont sensibilisés et mieux outillées pour être les agents catalyseurs de la culture de paix, la résolution pacifique des conflits intercommunautaires, le brassage intercommunautaire et la consolidation de la paix.</t>
  </si>
  <si>
    <t>Produit 2.1: Les acteurs locaux, les jeunes femmes et des hommes, les femmes ont des compétences davantage accrues pour promouvoir un dialogue constructif, une participation inclusive aux mécanismes de gouvernance locale, de prévention et de résolution de conflits.</t>
  </si>
  <si>
    <t>Activite 2.1.1:</t>
  </si>
  <si>
    <t>Appuyer la redynamisation et/ou la mise en place des clubs des jeunes « acteurs de la paix  et comite de paix dans  les différents centres de lecture et d’animation culturelle  et lycees, les jeunes leders des partis politiques</t>
  </si>
  <si>
    <t>Activite 2.1.2:</t>
  </si>
  <si>
    <t>Renforcer les capacités des enseignants, des membres des associations des parents d’élèves (APE) et associations des mères des élèves (AME) à promouvoir les principes de coexistence pacifique et de justice, à travers leur formation en Peacebuilding et les compétences de vie courante</t>
  </si>
  <si>
    <t>Activite 2.1.3:</t>
  </si>
  <si>
    <t>Appuyer la mise en place des Réseaux Communautaires de Protection des jeunes hommes et femmes pour la promotion des droits humains et la cohabitation pacifique.</t>
  </si>
  <si>
    <t>Activite 2.1.4</t>
  </si>
  <si>
    <t xml:space="preserve"> Appui au dialogue intergenerationnel sur l'egalite du genre et la consolidation de la paix, la masculinite et le leadership ( debats radio, atelier sur le mentorat, partage d'experience entre les organisations des hommes et jeunes</t>
  </si>
  <si>
    <t>Total Produit 2.1</t>
  </si>
  <si>
    <t>Produit 2.2: Les jeunes femmes et hommes, les femmes ainsi que les autres acteurs communautaires sensibilisés promeuvent et contribuent à la résolution pacifique des conflits intercommunautaire, le brassage intercommunautaire en vue de la consolidation de la paix et affirment leur leadership</t>
  </si>
  <si>
    <t>Activite 2.2.1:</t>
  </si>
  <si>
    <t>Formation sur les droits des femmes, les masulinites et genre  au benefice des groupes cibles: autorites locales, enseignants, directeurs de lycees et universites, lycees et associations des parents, organisations des jeunes, des femmes et hommes et leaders religieux</t>
  </si>
  <si>
    <t>Activite 2.2.2:</t>
  </si>
  <si>
    <t>Organisation d'activites culturelles  et sportives avec les jeunes filles et garcons pour la promotion de la paix ( theatre, concours d'illustration, recit et ou reprographie</t>
  </si>
  <si>
    <t>Activite 2.2.3:</t>
  </si>
  <si>
    <t>Formation des jeunes hommes et femmes au metiers pour leur insertion socio-economique</t>
  </si>
  <si>
    <t>Activite 2.2.4:</t>
  </si>
  <si>
    <t>Developpement des activites generatrices des revenus avec les associations des jeunes hommes et des jeunes femmes</t>
  </si>
  <si>
    <t>Total Produit 2.2</t>
  </si>
  <si>
    <t>TOTAL $ pour Resultat 2:</t>
  </si>
  <si>
    <t>Résultat 3- La coordination et communication autour du portefeuille PBF facilite l’atteinte des résultats attendus, à travers une orientation stratégique et un cadre de suivi et évaluation renforcés.</t>
  </si>
  <si>
    <t>Produit 3.1 : L’unité de coordination du Fonds est opérationnelle et les partenaires nationaux, partenaires d’exécution et les bénéficiaires sont mieux familiarisés avec les acquis des projets PBF</t>
  </si>
  <si>
    <t>Activite 3.3.1:</t>
  </si>
  <si>
    <t xml:space="preserve">Recrutement d'un Staff International P3 et d'un VNU national M&amp;E/communication, chauffeur, equipement de bureau </t>
  </si>
  <si>
    <t>Produit 3.2 : Le suivi et l’évaluation du portefeuille PBF est efficace et facilite l’atteinte des résultats attendus des interventions financés par le PBF.</t>
  </si>
  <si>
    <t>Activite 3.3.2:</t>
  </si>
  <si>
    <t xml:space="preserve">Suivi-évaluation </t>
  </si>
  <si>
    <t xml:space="preserve">Produit 3.3 : Une communication efficace est assurée autour des résultats obtenus par les projets et la visibilité de PBF est assurée au Tchad auprès des bailleurs de fonds, des bénéficiaires et des partenaires techniques et financiers. </t>
  </si>
  <si>
    <t>Activite 3.3.3</t>
  </si>
  <si>
    <t>Communication PBF</t>
  </si>
  <si>
    <t>Total Produit 3</t>
  </si>
  <si>
    <t>Cout de personnel du projet si pas inclus dans les activites si-dessus</t>
  </si>
  <si>
    <t>1 staff NOB C4D Education
1 staff C4D NOB Com Strat
1 staff NOB Protection
1 staff GS5 Assistant administratif</t>
  </si>
  <si>
    <t>Couts operationnels si pas inclus dans les activites si-dessus</t>
  </si>
  <si>
    <t xml:space="preserve">Equipements et achats </t>
  </si>
  <si>
    <t>Budget S&amp;E du projet</t>
  </si>
  <si>
    <t xml:space="preserve">Mission de suivi-Evaluation et Evaluation finale du projet </t>
  </si>
  <si>
    <t>Communication</t>
  </si>
  <si>
    <t xml:space="preserve">SOUS TOTAL DU BUDGET DE PROJET:  </t>
  </si>
  <si>
    <t>N/A</t>
  </si>
  <si>
    <t>Couts indirects (7%):</t>
  </si>
  <si>
    <t xml:space="preserve">BUDGET TOTAL DU PROJET:  </t>
  </si>
  <si>
    <t>CATEGORIES</t>
  </si>
  <si>
    <t>OHCHR</t>
  </si>
  <si>
    <t>Total tranche 1</t>
  </si>
  <si>
    <t>Total tranche 2</t>
  </si>
  <si>
    <t xml:space="preserve"> TOTAL PROJET</t>
  </si>
  <si>
    <t>Depenses/engagements</t>
  </si>
  <si>
    <t>Tranche 1
(70%)
Pro Doc</t>
  </si>
  <si>
    <t>Tranche 1 (70%)
Révision</t>
  </si>
  <si>
    <t>Tranche 2 (30%) 
Pro Doc</t>
  </si>
  <si>
    <t>Tranche 2 (30%)
Révision</t>
  </si>
  <si>
    <t>TOTAL (T1+T2)
Pro Doc</t>
  </si>
  <si>
    <t>Total 
(T1 +T2)
Révision</t>
  </si>
  <si>
    <t>Tranche 1 (70%)     Pro Doc</t>
  </si>
  <si>
    <t>Tranche 2 (30%)     Pro Doc</t>
  </si>
  <si>
    <t>Tranche 1 (70%)</t>
  </si>
  <si>
    <t>Tranche 2 (30%)</t>
  </si>
  <si>
    <t>Tranche 1 (70%)          Pro Doc</t>
  </si>
  <si>
    <t>TOTAL</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</si>
  <si>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</si>
  <si>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</si>
  <si>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</si>
  <si>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</si>
  <si>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</si>
  <si>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</si>
  <si>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</si>
  <si>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</si>
  <si>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</si>
  <si>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Montant à revoir par le PAM car le montant etait US$ 5,765 au dernier rapport (Nov 2020)</t>
  </si>
  <si>
    <t>US$ 1,534 engagés lors du dernier rapport (Nov 2020) n'ont pas été utilisés; donc le montant actuel.</t>
  </si>
  <si>
    <r>
      <t>PNUD: La d</t>
    </r>
    <r>
      <rPr>
        <sz val="11"/>
        <color rgb="FFFF0000"/>
        <rFont val="Calibri"/>
        <family val="2"/>
      </rPr>
      <t>é</t>
    </r>
    <r>
      <rPr>
        <sz val="11"/>
        <color rgb="FFFF0000"/>
        <rFont val="Times New Roman"/>
        <family val="1"/>
      </rPr>
      <t>pense est élevée par rapport au montant allou</t>
    </r>
    <r>
      <rPr>
        <sz val="11"/>
        <color rgb="FFFF0000"/>
        <rFont val="Calibri"/>
        <family val="2"/>
      </rPr>
      <t>é</t>
    </r>
  </si>
  <si>
    <t>Montant à revoir par le HCDH car le montant etait US$ 16,772 au dernier rapport (Nov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</si>
</sst>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quot;€&quot;_-;\-* #,##0.00\ &quot;€&quot;_-;_-* &quot;-&quot;??\ &quot;€&quot;_-;_-@_-"/>
    <numFmt numFmtId="165" formatCode="_-* #,##0.00\ _€_-;\-* #,##0.00\ _€_-;_-* &quot;-&quot;??\ _€_-;_-@_-"/>
    <numFmt numFmtId="166" formatCode="&quot;$&quot;#,##0.00"/>
    <numFmt numFmtId="167" formatCode="_-[$$-409]* #,##0_ ;_-[$$-409]* \-#,##0\ ;_-[$$-409]* &quot;-&quot;_ ;_-@_ "/>
    <numFmt numFmtId="168" formatCode="_([$$-409]* #,##0.00_);_([$$-409]* \(#,##0.00\);_([$$-409]* &quot;-&quot;??_);_(@_)"/>
    <numFmt numFmtId="169" formatCode="[$$-409]#,##0"/>
    <numFmt numFmtId="170" formatCode="[$$-409]#,##0.00"/>
  </numFmts>
  <fonts count="28" x14ac:knownFonts="1">
    <font>
      <sz val="11"/>
      <color theme="1"/>
      <name val="Calibri"/>
      <family val="2"/>
      <scheme val="minor"/>
    </font>
    <font>
      <b/>
      <sz val="11"/>
      <name val="Times New Roman"/>
      <family val="1"/>
    </font>
    <font>
      <sz val="8"/>
      <name val="Calibri"/>
      <family val="2"/>
    </font>
    <font>
      <sz val="9"/>
      <name val="Times New Roman"/>
      <family val="1"/>
    </font>
    <font>
      <b/>
      <sz val="9"/>
      <name val="Times New Roman"/>
      <family val="1"/>
    </font>
    <font>
      <sz val="9"/>
      <color indexed="81"/>
      <name val="Tahoma"/>
      <family val="2"/>
    </font>
    <font>
      <b/>
      <sz val="9"/>
      <color indexed="81"/>
      <name val="Tahoma"/>
      <family val="2"/>
    </font>
    <font>
      <sz val="11"/>
      <name val="Times New Roman"/>
      <family val="1"/>
    </font>
    <font>
      <sz val="11"/>
      <color theme="1"/>
      <name val="Calibri"/>
      <family val="2"/>
      <scheme val="minor"/>
    </font>
    <font>
      <sz val="11"/>
      <color rgb="FFFF0000"/>
      <name val="Calibri"/>
      <family val="2"/>
      <scheme val="minor"/>
    </font>
    <font>
      <b/>
      <sz val="12"/>
      <color theme="1"/>
      <name val="Calibri"/>
      <family val="2"/>
      <scheme val="minor"/>
    </font>
    <font>
      <b/>
      <sz val="14"/>
      <color theme="1"/>
      <name val="Calibri"/>
      <family val="2"/>
      <scheme val="minor"/>
    </font>
    <font>
      <sz val="11"/>
      <color theme="1"/>
      <name val="Times New Roman"/>
      <family val="1"/>
    </font>
    <font>
      <b/>
      <sz val="11"/>
      <color theme="1"/>
      <name val="Times New Roman"/>
      <family val="1"/>
    </font>
    <font>
      <sz val="9"/>
      <color theme="1"/>
      <name val="Times New Roman"/>
      <family val="1"/>
    </font>
    <font>
      <sz val="9"/>
      <color rgb="FFFF0000"/>
      <name val="Times New Roman"/>
      <family val="1"/>
    </font>
    <font>
      <sz val="11"/>
      <color rgb="FF000000"/>
      <name val="Times New Roman"/>
      <family val="1"/>
    </font>
    <font>
      <b/>
      <sz val="11"/>
      <color rgb="FFFF0000"/>
      <name val="Times New Roman"/>
      <family val="1"/>
    </font>
    <font>
      <b/>
      <sz val="16"/>
      <color theme="1"/>
      <name val="Times New Roman"/>
      <family val="1"/>
    </font>
    <font>
      <b/>
      <sz val="12"/>
      <color theme="1"/>
      <name val="Times New Roman"/>
      <family val="1"/>
    </font>
    <font>
      <b/>
      <sz val="9"/>
      <color theme="1"/>
      <name val="Times New Roman"/>
      <family val="1"/>
    </font>
    <font>
      <b/>
      <sz val="9"/>
      <color rgb="FFFF0000"/>
      <name val="Times New Roman"/>
      <family val="1"/>
    </font>
    <font>
      <b/>
      <sz val="10"/>
      <color theme="1"/>
      <name val="Times New Roman"/>
      <family val="1"/>
    </font>
    <font>
      <sz val="11"/>
      <color rgb="FFFF0000"/>
      <name val="Times New Roman"/>
      <family val="1"/>
    </font>
    <font>
      <sz val="10"/>
      <color theme="1"/>
      <name val="Times New Roman"/>
      <family val="1"/>
    </font>
    <font>
      <sz val="10"/>
      <name val="Times New Roman"/>
      <family val="1"/>
    </font>
    <font>
      <sz val="11"/>
      <color rgb="FFFF0000"/>
      <name val="Calibri"/>
      <family val="2"/>
    </font>
    <font>
      <sz val="10"/>
      <color rgb="FFFF0000"/>
      <name val="Times New Roman"/>
      <family val="1"/>
    </font>
  </fonts>
  <fills count="2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rgb="FFD9D9D9"/>
        <bgColor indexed="64"/>
      </patternFill>
    </fill>
    <fill>
      <patternFill patternType="solid">
        <fgColor theme="0" tint="-0.14999847407452621"/>
        <bgColor indexed="64"/>
      </patternFill>
    </fill>
    <fill>
      <patternFill patternType="solid">
        <fgColor rgb="FFB3B3B3"/>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00B0F0"/>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165"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cellStyleXfs>
  <cellXfs count="239">
    <xf numFmtId="0" fontId="0" fillId="0" borderId="0" xfId="0"/>
    <xf numFmtId="0" fontId="12" fillId="2" borderId="1" xfId="0" applyFont="1" applyFill="1" applyBorder="1" applyAlignment="1">
      <alignment horizontal="left" vertical="top" wrapText="1"/>
    </xf>
    <xf numFmtId="0" fontId="12" fillId="2" borderId="8" xfId="0" applyFont="1" applyFill="1" applyBorder="1" applyAlignment="1">
      <alignment horizontal="left" vertical="top" wrapText="1"/>
    </xf>
    <xf numFmtId="0" fontId="16" fillId="0" borderId="8" xfId="0" applyFont="1" applyBorder="1" applyAlignment="1">
      <alignment horizontal="left" vertical="top" wrapText="1"/>
    </xf>
    <xf numFmtId="0" fontId="12" fillId="0" borderId="8" xfId="0" applyFont="1" applyBorder="1" applyAlignment="1">
      <alignment horizontal="left"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3" fillId="10" borderId="13" xfId="0" applyFont="1" applyFill="1" applyBorder="1" applyAlignment="1">
      <alignment horizontal="center" vertical="top" wrapText="1"/>
    </xf>
    <xf numFmtId="0" fontId="13" fillId="11" borderId="13" xfId="0" applyFont="1" applyFill="1" applyBorder="1" applyAlignment="1">
      <alignment horizontal="center" vertical="top" wrapText="1"/>
    </xf>
    <xf numFmtId="0" fontId="13" fillId="12" borderId="13" xfId="0" applyFont="1" applyFill="1" applyBorder="1" applyAlignment="1">
      <alignment horizontal="center" vertical="top" wrapText="1"/>
    </xf>
    <xf numFmtId="0" fontId="13" fillId="9" borderId="13" xfId="0" applyFont="1" applyFill="1" applyBorder="1" applyAlignment="1">
      <alignment horizontal="center" vertical="top" wrapText="1"/>
    </xf>
    <xf numFmtId="0" fontId="12" fillId="0" borderId="14" xfId="0" applyFont="1" applyBorder="1" applyAlignment="1">
      <alignment horizontal="center" vertical="top" wrapText="1"/>
    </xf>
    <xf numFmtId="0" fontId="12" fillId="2" borderId="7" xfId="0" applyFont="1" applyFill="1" applyBorder="1" applyAlignment="1">
      <alignment horizontal="left" vertical="top" wrapText="1"/>
    </xf>
    <xf numFmtId="0" fontId="7" fillId="2" borderId="1"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2" borderId="1" xfId="0" applyFont="1" applyFill="1" applyBorder="1" applyAlignment="1">
      <alignment horizontal="left" vertical="top"/>
    </xf>
    <xf numFmtId="0" fontId="12" fillId="3" borderId="8" xfId="0" applyFont="1"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0" fillId="0" borderId="0" xfId="0" applyFont="1" applyAlignment="1">
      <alignment horizontal="left" vertical="top"/>
    </xf>
    <xf numFmtId="0" fontId="0" fillId="0" borderId="0" xfId="0" applyFont="1" applyAlignment="1">
      <alignment horizontal="left" vertical="top"/>
    </xf>
    <xf numFmtId="3" fontId="0" fillId="2" borderId="0" xfId="0" applyNumberFormat="1" applyFont="1" applyFill="1" applyAlignment="1">
      <alignment horizontal="left" vertical="top"/>
    </xf>
    <xf numFmtId="0" fontId="0" fillId="2" borderId="0" xfId="0" applyFont="1" applyFill="1" applyAlignment="1">
      <alignment horizontal="left" vertical="top"/>
    </xf>
    <xf numFmtId="0" fontId="0" fillId="13" borderId="0" xfId="0" applyFont="1" applyFill="1" applyAlignment="1">
      <alignment horizontal="left" vertical="top"/>
    </xf>
    <xf numFmtId="0" fontId="13" fillId="3" borderId="7" xfId="0" applyFont="1" applyFill="1" applyBorder="1" applyAlignment="1">
      <alignment horizontal="left" vertical="top" wrapText="1"/>
    </xf>
    <xf numFmtId="0" fontId="7" fillId="2" borderId="7" xfId="0" applyFont="1" applyFill="1" applyBorder="1" applyAlignment="1">
      <alignment horizontal="left" vertical="top" wrapText="1"/>
    </xf>
    <xf numFmtId="0" fontId="12" fillId="0" borderId="1" xfId="0" applyFont="1" applyBorder="1" applyAlignment="1">
      <alignment horizontal="left" vertical="top" wrapText="1"/>
    </xf>
    <xf numFmtId="0" fontId="13" fillId="3" borderId="20" xfId="0" applyFont="1" applyFill="1" applyBorder="1" applyAlignment="1">
      <alignment horizontal="left" vertical="top" wrapText="1"/>
    </xf>
    <xf numFmtId="0" fontId="13" fillId="3" borderId="21"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12" fillId="0" borderId="7" xfId="0" applyFont="1" applyBorder="1" applyAlignment="1">
      <alignment horizontal="left" vertical="top" wrapText="1"/>
    </xf>
    <xf numFmtId="0" fontId="12" fillId="2" borderId="21" xfId="0" applyFont="1" applyFill="1" applyBorder="1" applyAlignment="1">
      <alignment horizontal="left" vertical="top" wrapText="1"/>
    </xf>
    <xf numFmtId="0" fontId="0" fillId="0" borderId="0" xfId="0" applyFont="1" applyFill="1" applyAlignment="1">
      <alignment horizontal="left" vertical="top"/>
    </xf>
    <xf numFmtId="0" fontId="0" fillId="9" borderId="0" xfId="0" applyFont="1" applyFill="1" applyAlignment="1">
      <alignment horizontal="left" vertical="top"/>
    </xf>
    <xf numFmtId="0" fontId="17" fillId="2" borderId="8" xfId="0" applyFont="1" applyFill="1" applyBorder="1" applyAlignment="1">
      <alignment horizontal="left" vertical="top" wrapText="1"/>
    </xf>
    <xf numFmtId="0" fontId="0" fillId="14" borderId="0" xfId="0" applyFont="1" applyFill="1" applyAlignment="1">
      <alignment horizontal="left" vertical="top"/>
    </xf>
    <xf numFmtId="0" fontId="13"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168" fontId="0" fillId="0" borderId="0" xfId="0" applyNumberFormat="1" applyFont="1" applyAlignment="1">
      <alignment horizontal="left" vertical="top"/>
    </xf>
    <xf numFmtId="0" fontId="13" fillId="6" borderId="9" xfId="0" applyFont="1" applyFill="1" applyBorder="1" applyAlignment="1">
      <alignment horizontal="left" vertical="top" wrapText="1"/>
    </xf>
    <xf numFmtId="165" fontId="9" fillId="0" borderId="0" xfId="1" applyFont="1" applyAlignment="1">
      <alignment horizontal="left" vertical="top"/>
    </xf>
    <xf numFmtId="168" fontId="0" fillId="0" borderId="0" xfId="0" applyNumberFormat="1" applyAlignment="1">
      <alignment horizontal="left" vertical="top"/>
    </xf>
    <xf numFmtId="0" fontId="18" fillId="0" borderId="0" xfId="0" applyFont="1" applyAlignment="1">
      <alignment horizontal="left" vertical="top"/>
    </xf>
    <xf numFmtId="0" fontId="19" fillId="0" borderId="0" xfId="0" applyFont="1" applyAlignment="1">
      <alignment horizontal="left" vertical="top"/>
    </xf>
    <xf numFmtId="0" fontId="12" fillId="0" borderId="0" xfId="0" applyFont="1" applyAlignment="1">
      <alignment horizontal="left" vertical="top"/>
    </xf>
    <xf numFmtId="9" fontId="12" fillId="2" borderId="1" xfId="3" applyNumberFormat="1" applyFont="1" applyFill="1" applyBorder="1" applyAlignment="1">
      <alignment horizontal="right" vertical="top" wrapText="1"/>
    </xf>
    <xf numFmtId="9" fontId="12" fillId="0" borderId="1" xfId="3" applyNumberFormat="1" applyFont="1" applyBorder="1" applyAlignment="1">
      <alignment horizontal="right" vertical="top" wrapText="1"/>
    </xf>
    <xf numFmtId="9" fontId="12" fillId="0" borderId="1" xfId="0" applyNumberFormat="1" applyFont="1" applyBorder="1" applyAlignment="1">
      <alignment horizontal="right" vertical="top" wrapText="1"/>
    </xf>
    <xf numFmtId="0" fontId="13" fillId="3" borderId="1" xfId="0" applyFont="1" applyFill="1" applyBorder="1" applyAlignment="1">
      <alignment horizontal="right" vertical="top" wrapText="1"/>
    </xf>
    <xf numFmtId="9" fontId="7" fillId="2" borderId="1" xfId="3" applyNumberFormat="1" applyFont="1" applyFill="1" applyBorder="1" applyAlignment="1">
      <alignment horizontal="right" vertical="top" wrapText="1"/>
    </xf>
    <xf numFmtId="0" fontId="12" fillId="3" borderId="1" xfId="0" applyFont="1" applyFill="1" applyBorder="1" applyAlignment="1">
      <alignment horizontal="right" vertical="top" wrapText="1"/>
    </xf>
    <xf numFmtId="9" fontId="12" fillId="2" borderId="1" xfId="2" applyNumberFormat="1" applyFont="1" applyFill="1" applyBorder="1" applyAlignment="1">
      <alignment horizontal="right" vertical="top" wrapText="1"/>
    </xf>
    <xf numFmtId="0" fontId="12" fillId="3" borderId="2" xfId="0" applyFont="1" applyFill="1" applyBorder="1" applyAlignment="1">
      <alignment horizontal="right" vertical="top" wrapText="1"/>
    </xf>
    <xf numFmtId="9" fontId="12" fillId="2" borderId="1" xfId="0" applyNumberFormat="1" applyFont="1" applyFill="1" applyBorder="1" applyAlignment="1">
      <alignment horizontal="right" vertical="top" wrapText="1"/>
    </xf>
    <xf numFmtId="0" fontId="13" fillId="6" borderId="1" xfId="0" applyFont="1" applyFill="1" applyBorder="1" applyAlignment="1">
      <alignment horizontal="right" vertical="top" wrapText="1"/>
    </xf>
    <xf numFmtId="0" fontId="12" fillId="6" borderId="1" xfId="0" applyFont="1" applyFill="1" applyBorder="1" applyAlignment="1">
      <alignment horizontal="right" vertical="top" wrapText="1"/>
    </xf>
    <xf numFmtId="0" fontId="13" fillId="6" borderId="10" xfId="0" applyFont="1" applyFill="1" applyBorder="1" applyAlignment="1">
      <alignment horizontal="right" vertical="top" wrapText="1"/>
    </xf>
    <xf numFmtId="9" fontId="12" fillId="15" borderId="1" xfId="0" applyNumberFormat="1" applyFont="1" applyFill="1" applyBorder="1" applyAlignment="1">
      <alignment horizontal="right" vertical="top" wrapText="1"/>
    </xf>
    <xf numFmtId="0" fontId="13" fillId="3" borderId="2" xfId="0" applyFont="1" applyFill="1" applyBorder="1" applyAlignment="1">
      <alignment horizontal="right" vertical="top" wrapText="1"/>
    </xf>
    <xf numFmtId="169" fontId="12" fillId="2" borderId="1" xfId="2" applyNumberFormat="1" applyFont="1" applyFill="1" applyBorder="1" applyAlignment="1">
      <alignment horizontal="right" vertical="top" wrapText="1"/>
    </xf>
    <xf numFmtId="169" fontId="13" fillId="3" borderId="1" xfId="2" applyNumberFormat="1" applyFont="1" applyFill="1" applyBorder="1" applyAlignment="1">
      <alignment horizontal="right" vertical="top" wrapText="1"/>
    </xf>
    <xf numFmtId="169" fontId="13" fillId="3" borderId="1" xfId="0" applyNumberFormat="1" applyFont="1" applyFill="1" applyBorder="1" applyAlignment="1">
      <alignment horizontal="right" vertical="top" wrapText="1"/>
    </xf>
    <xf numFmtId="169" fontId="12" fillId="0" borderId="1" xfId="0" applyNumberFormat="1" applyFont="1" applyBorder="1" applyAlignment="1">
      <alignment horizontal="right" vertical="top" wrapText="1"/>
    </xf>
    <xf numFmtId="169" fontId="12" fillId="9" borderId="1" xfId="0" applyNumberFormat="1" applyFont="1" applyFill="1" applyBorder="1" applyAlignment="1">
      <alignment horizontal="right" vertical="top" wrapText="1"/>
    </xf>
    <xf numFmtId="169" fontId="13" fillId="9" borderId="1" xfId="0" applyNumberFormat="1" applyFont="1" applyFill="1" applyBorder="1" applyAlignment="1">
      <alignment horizontal="right" vertical="top" wrapText="1"/>
    </xf>
    <xf numFmtId="169" fontId="13" fillId="9" borderId="1" xfId="1" applyNumberFormat="1" applyFont="1" applyFill="1" applyBorder="1" applyAlignment="1">
      <alignment horizontal="right" vertical="top" wrapText="1"/>
    </xf>
    <xf numFmtId="169" fontId="12" fillId="2" borderId="1" xfId="2" applyNumberFormat="1" applyFont="1" applyFill="1" applyBorder="1" applyAlignment="1">
      <alignment vertical="top" wrapText="1"/>
    </xf>
    <xf numFmtId="169" fontId="12" fillId="0" borderId="1" xfId="0" applyNumberFormat="1" applyFont="1" applyBorder="1" applyAlignment="1">
      <alignment vertical="top" wrapText="1"/>
    </xf>
    <xf numFmtId="169" fontId="12" fillId="9" borderId="1" xfId="0" applyNumberFormat="1" applyFont="1" applyFill="1" applyBorder="1" applyAlignment="1">
      <alignment vertical="top" wrapText="1"/>
    </xf>
    <xf numFmtId="169" fontId="13" fillId="3" borderId="2" xfId="0" applyNumberFormat="1" applyFont="1" applyFill="1" applyBorder="1" applyAlignment="1">
      <alignment horizontal="right" vertical="top" wrapText="1"/>
    </xf>
    <xf numFmtId="169" fontId="1" fillId="3" borderId="1" xfId="0" applyNumberFormat="1" applyFont="1" applyFill="1" applyBorder="1" applyAlignment="1">
      <alignment horizontal="left" vertical="top" wrapText="1"/>
    </xf>
    <xf numFmtId="169" fontId="13" fillId="9" borderId="2" xfId="1" applyNumberFormat="1" applyFont="1" applyFill="1" applyBorder="1" applyAlignment="1">
      <alignment horizontal="right" vertical="top" wrapText="1"/>
    </xf>
    <xf numFmtId="169" fontId="1" fillId="3" borderId="1" xfId="0" applyNumberFormat="1" applyFont="1" applyFill="1" applyBorder="1" applyAlignment="1">
      <alignment horizontal="right" vertical="top" wrapText="1"/>
    </xf>
    <xf numFmtId="169" fontId="7" fillId="2" borderId="1" xfId="2" applyNumberFormat="1" applyFont="1" applyFill="1" applyBorder="1" applyAlignment="1">
      <alignment horizontal="right" vertical="top" wrapText="1"/>
    </xf>
    <xf numFmtId="169" fontId="7" fillId="0" borderId="1" xfId="0" applyNumberFormat="1" applyFont="1" applyBorder="1" applyAlignment="1">
      <alignment horizontal="right" vertical="top" wrapText="1"/>
    </xf>
    <xf numFmtId="169" fontId="7" fillId="9" borderId="1" xfId="0" applyNumberFormat="1" applyFont="1" applyFill="1" applyBorder="1" applyAlignment="1">
      <alignment horizontal="right" vertical="top" wrapText="1"/>
    </xf>
    <xf numFmtId="169" fontId="13" fillId="3" borderId="1" xfId="0" applyNumberFormat="1" applyFont="1" applyFill="1" applyBorder="1" applyAlignment="1">
      <alignment vertical="top" wrapText="1"/>
    </xf>
    <xf numFmtId="169" fontId="13" fillId="3" borderId="2" xfId="0" applyNumberFormat="1" applyFont="1" applyFill="1" applyBorder="1" applyAlignment="1">
      <alignment vertical="top" wrapText="1"/>
    </xf>
    <xf numFmtId="169" fontId="1" fillId="3" borderId="1" xfId="0" applyNumberFormat="1" applyFont="1" applyFill="1" applyBorder="1" applyAlignment="1">
      <alignment vertical="top" wrapText="1"/>
    </xf>
    <xf numFmtId="169" fontId="13" fillId="9" borderId="1" xfId="0" applyNumberFormat="1" applyFont="1" applyFill="1" applyBorder="1" applyAlignment="1">
      <alignment vertical="top" wrapText="1"/>
    </xf>
    <xf numFmtId="169" fontId="13" fillId="9" borderId="2" xfId="1" applyNumberFormat="1" applyFont="1" applyFill="1" applyBorder="1" applyAlignment="1">
      <alignment vertical="top" wrapText="1"/>
    </xf>
    <xf numFmtId="169" fontId="12" fillId="15" borderId="1" xfId="0" applyNumberFormat="1" applyFont="1" applyFill="1" applyBorder="1" applyAlignment="1">
      <alignment horizontal="right" vertical="top" wrapText="1"/>
    </xf>
    <xf numFmtId="169" fontId="13" fillId="6" borderId="1" xfId="0" applyNumberFormat="1" applyFont="1" applyFill="1" applyBorder="1" applyAlignment="1">
      <alignment horizontal="right" vertical="top" wrapText="1"/>
    </xf>
    <xf numFmtId="169" fontId="13" fillId="6" borderId="10" xfId="0" applyNumberFormat="1" applyFont="1" applyFill="1" applyBorder="1" applyAlignment="1">
      <alignment horizontal="right" vertical="top" wrapText="1"/>
    </xf>
    <xf numFmtId="169" fontId="13" fillId="9" borderId="10" xfId="0" applyNumberFormat="1" applyFont="1" applyFill="1" applyBorder="1" applyAlignment="1">
      <alignment horizontal="right" vertical="top" wrapText="1"/>
    </xf>
    <xf numFmtId="169" fontId="12" fillId="2" borderId="1" xfId="0" applyNumberFormat="1" applyFont="1" applyFill="1" applyBorder="1" applyAlignment="1">
      <alignment horizontal="right" vertical="top" wrapText="1"/>
    </xf>
    <xf numFmtId="169" fontId="12" fillId="0" borderId="1" xfId="0" applyNumberFormat="1" applyFont="1" applyFill="1" applyBorder="1" applyAlignment="1">
      <alignment horizontal="right" vertical="top" wrapText="1"/>
    </xf>
    <xf numFmtId="169" fontId="13" fillId="2" borderId="1" xfId="0" applyNumberFormat="1" applyFont="1" applyFill="1" applyBorder="1" applyAlignment="1">
      <alignment horizontal="right" vertical="top" wrapText="1"/>
    </xf>
    <xf numFmtId="0" fontId="19"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20" fillId="4" borderId="10" xfId="0" applyFont="1" applyFill="1" applyBorder="1" applyAlignment="1">
      <alignment horizontal="center" vertical="top" wrapText="1"/>
    </xf>
    <xf numFmtId="0" fontId="21" fillId="9" borderId="10" xfId="0" applyFont="1" applyFill="1" applyBorder="1" applyAlignment="1">
      <alignment horizontal="center" vertical="top" wrapText="1"/>
    </xf>
    <xf numFmtId="0" fontId="13" fillId="8" borderId="10" xfId="0" applyFont="1" applyFill="1" applyBorder="1" applyAlignment="1">
      <alignment horizontal="center" vertical="top"/>
    </xf>
    <xf numFmtId="0" fontId="22" fillId="8" borderId="10" xfId="0" applyFont="1" applyFill="1" applyBorder="1" applyAlignment="1">
      <alignment horizontal="center" vertical="top"/>
    </xf>
    <xf numFmtId="0" fontId="13" fillId="8" borderId="11" xfId="0" applyFont="1" applyFill="1" applyBorder="1" applyAlignment="1">
      <alignment horizontal="center" vertical="top"/>
    </xf>
    <xf numFmtId="0" fontId="14" fillId="0" borderId="15" xfId="0" applyFont="1" applyBorder="1" applyAlignment="1">
      <alignment vertical="top" wrapText="1"/>
    </xf>
    <xf numFmtId="169" fontId="3" fillId="0" borderId="3" xfId="0" applyNumberFormat="1" applyFont="1" applyBorder="1" applyAlignment="1">
      <alignment horizontal="right" vertical="top" wrapText="1"/>
    </xf>
    <xf numFmtId="169" fontId="15" fillId="9" borderId="3" xfId="0" applyNumberFormat="1" applyFont="1" applyFill="1" applyBorder="1" applyAlignment="1">
      <alignment horizontal="right" vertical="top" wrapText="1"/>
    </xf>
    <xf numFmtId="169" fontId="14" fillId="0" borderId="3" xfId="0" applyNumberFormat="1" applyFont="1" applyBorder="1" applyAlignment="1">
      <alignment horizontal="right" vertical="top" wrapText="1"/>
    </xf>
    <xf numFmtId="169" fontId="14" fillId="0" borderId="16" xfId="0" applyNumberFormat="1" applyFont="1" applyBorder="1" applyAlignment="1">
      <alignment horizontal="right" vertical="top" wrapText="1"/>
    </xf>
    <xf numFmtId="0" fontId="14" fillId="0" borderId="7" xfId="0" applyFont="1" applyBorder="1" applyAlignment="1">
      <alignment vertical="top" wrapText="1"/>
    </xf>
    <xf numFmtId="169" fontId="3" fillId="0" borderId="1" xfId="0" applyNumberFormat="1" applyFont="1" applyBorder="1" applyAlignment="1">
      <alignment horizontal="right" vertical="top" wrapText="1"/>
    </xf>
    <xf numFmtId="169" fontId="15" fillId="9" borderId="1" xfId="0" applyNumberFormat="1" applyFont="1" applyFill="1" applyBorder="1" applyAlignment="1">
      <alignment horizontal="right" vertical="top" wrapText="1"/>
    </xf>
    <xf numFmtId="169" fontId="14" fillId="0" borderId="1" xfId="0" applyNumberFormat="1" applyFont="1" applyBorder="1" applyAlignment="1">
      <alignment horizontal="right" vertical="top" wrapText="1"/>
    </xf>
    <xf numFmtId="169" fontId="14" fillId="0" borderId="8" xfId="0" applyNumberFormat="1" applyFont="1" applyBorder="1" applyAlignment="1">
      <alignment horizontal="right" vertical="top" wrapText="1"/>
    </xf>
    <xf numFmtId="169" fontId="3" fillId="9" borderId="1" xfId="0" applyNumberFormat="1" applyFont="1" applyFill="1" applyBorder="1" applyAlignment="1">
      <alignment horizontal="right" vertical="top" wrapText="1"/>
    </xf>
    <xf numFmtId="169" fontId="14" fillId="0" borderId="1" xfId="0" applyNumberFormat="1" applyFont="1" applyBorder="1" applyAlignment="1">
      <alignment horizontal="right" vertical="top"/>
    </xf>
    <xf numFmtId="0" fontId="14" fillId="0" borderId="20" xfId="0" applyFont="1" applyBorder="1" applyAlignment="1">
      <alignment vertical="top" wrapText="1"/>
    </xf>
    <xf numFmtId="169" fontId="3" fillId="0" borderId="2" xfId="0" applyNumberFormat="1" applyFont="1" applyBorder="1" applyAlignment="1">
      <alignment horizontal="right" vertical="top" wrapText="1"/>
    </xf>
    <xf numFmtId="169" fontId="15" fillId="9" borderId="2" xfId="0" applyNumberFormat="1" applyFont="1" applyFill="1" applyBorder="1" applyAlignment="1">
      <alignment horizontal="right" vertical="top" wrapText="1"/>
    </xf>
    <xf numFmtId="169" fontId="14" fillId="0" borderId="2" xfId="0" applyNumberFormat="1" applyFont="1" applyBorder="1" applyAlignment="1">
      <alignment horizontal="right" vertical="top" wrapText="1"/>
    </xf>
    <xf numFmtId="169" fontId="14" fillId="0" borderId="21" xfId="0" applyNumberFormat="1" applyFont="1" applyBorder="1" applyAlignment="1">
      <alignment horizontal="right" vertical="top" wrapText="1"/>
    </xf>
    <xf numFmtId="0" fontId="20" fillId="5" borderId="17" xfId="0" applyFont="1" applyFill="1" applyBorder="1" applyAlignment="1">
      <alignment vertical="top" wrapText="1"/>
    </xf>
    <xf numFmtId="169" fontId="4" fillId="5" borderId="18" xfId="0" applyNumberFormat="1" applyFont="1" applyFill="1" applyBorder="1" applyAlignment="1">
      <alignment horizontal="right" vertical="top" wrapText="1"/>
    </xf>
    <xf numFmtId="169" fontId="4" fillId="9" borderId="18" xfId="0" applyNumberFormat="1" applyFont="1" applyFill="1" applyBorder="1" applyAlignment="1">
      <alignment horizontal="right" vertical="top" wrapText="1"/>
    </xf>
    <xf numFmtId="169" fontId="14" fillId="6" borderId="18" xfId="0" applyNumberFormat="1" applyFont="1" applyFill="1" applyBorder="1" applyAlignment="1">
      <alignment horizontal="right" vertical="top"/>
    </xf>
    <xf numFmtId="169" fontId="14" fillId="6" borderId="19" xfId="0" applyNumberFormat="1" applyFont="1" applyFill="1" applyBorder="1" applyAlignment="1">
      <alignment horizontal="right" vertical="top"/>
    </xf>
    <xf numFmtId="169" fontId="3" fillId="9" borderId="3" xfId="0" applyNumberFormat="1" applyFont="1" applyFill="1" applyBorder="1" applyAlignment="1">
      <alignment horizontal="right" vertical="top" wrapText="1"/>
    </xf>
    <xf numFmtId="0" fontId="20" fillId="5" borderId="9" xfId="0" applyFont="1" applyFill="1" applyBorder="1" applyAlignment="1">
      <alignment vertical="top" wrapText="1"/>
    </xf>
    <xf numFmtId="169" fontId="20" fillId="5" borderId="10" xfId="0" applyNumberFormat="1" applyFont="1" applyFill="1" applyBorder="1" applyAlignment="1">
      <alignment horizontal="right" vertical="top" wrapText="1"/>
    </xf>
    <xf numFmtId="169" fontId="4" fillId="9" borderId="10" xfId="0" applyNumberFormat="1" applyFont="1" applyFill="1" applyBorder="1" applyAlignment="1">
      <alignment horizontal="right" vertical="top" wrapText="1"/>
    </xf>
    <xf numFmtId="169" fontId="4" fillId="5" borderId="10" xfId="0" applyNumberFormat="1" applyFont="1" applyFill="1" applyBorder="1" applyAlignment="1">
      <alignment horizontal="right" vertical="top" wrapText="1"/>
    </xf>
    <xf numFmtId="169" fontId="14" fillId="6" borderId="10" xfId="0" applyNumberFormat="1" applyFont="1" applyFill="1" applyBorder="1" applyAlignment="1">
      <alignment horizontal="right" vertical="top"/>
    </xf>
    <xf numFmtId="169" fontId="14" fillId="6" borderId="11" xfId="0" applyNumberFormat="1" applyFont="1" applyFill="1" applyBorder="1" applyAlignment="1">
      <alignment horizontal="right" vertical="top"/>
    </xf>
    <xf numFmtId="166" fontId="12" fillId="0" borderId="0" xfId="0" applyNumberFormat="1" applyFont="1" applyAlignment="1">
      <alignment vertical="top"/>
    </xf>
    <xf numFmtId="167" fontId="12" fillId="0" borderId="0" xfId="0" applyNumberFormat="1" applyFont="1" applyAlignment="1">
      <alignment vertical="top"/>
    </xf>
    <xf numFmtId="0" fontId="12" fillId="0" borderId="0" xfId="0" applyFont="1" applyAlignment="1">
      <alignment vertical="top" wrapText="1"/>
    </xf>
    <xf numFmtId="10" fontId="23" fillId="0" borderId="0" xfId="3" applyNumberFormat="1" applyFont="1" applyAlignment="1">
      <alignment vertical="top"/>
    </xf>
    <xf numFmtId="10" fontId="12" fillId="0" borderId="0" xfId="3" applyNumberFormat="1" applyFont="1" applyAlignment="1">
      <alignment vertical="top"/>
    </xf>
    <xf numFmtId="165" fontId="12" fillId="0" borderId="0" xfId="1" applyFont="1" applyAlignment="1">
      <alignment vertical="top"/>
    </xf>
    <xf numFmtId="169" fontId="14" fillId="0" borderId="3" xfId="0" applyNumberFormat="1" applyFont="1" applyBorder="1" applyAlignment="1">
      <alignment horizontal="right" vertical="top"/>
    </xf>
    <xf numFmtId="169" fontId="14" fillId="0" borderId="2" xfId="0" applyNumberFormat="1" applyFont="1" applyBorder="1" applyAlignment="1">
      <alignment horizontal="right" vertical="top"/>
    </xf>
    <xf numFmtId="169" fontId="14" fillId="0" borderId="16" xfId="0" applyNumberFormat="1" applyFont="1" applyBorder="1" applyAlignment="1">
      <alignment horizontal="right" vertical="top"/>
    </xf>
    <xf numFmtId="170" fontId="13" fillId="9" borderId="1" xfId="0" applyNumberFormat="1" applyFont="1" applyFill="1" applyBorder="1" applyAlignment="1">
      <alignment horizontal="right" vertical="top" wrapText="1"/>
    </xf>
    <xf numFmtId="165" fontId="13" fillId="6" borderId="1" xfId="1" applyFont="1" applyFill="1" applyBorder="1" applyAlignment="1">
      <alignment horizontal="right" vertical="top" wrapText="1"/>
    </xf>
    <xf numFmtId="10" fontId="0" fillId="0" borderId="0" xfId="3" applyNumberFormat="1" applyFont="1" applyAlignment="1">
      <alignment horizontal="left" vertical="top"/>
    </xf>
    <xf numFmtId="0" fontId="0" fillId="17" borderId="0" xfId="0" applyFill="1" applyAlignment="1">
      <alignment horizontal="left" vertical="top"/>
    </xf>
    <xf numFmtId="169" fontId="12" fillId="17" borderId="1" xfId="0" applyNumberFormat="1" applyFont="1" applyFill="1" applyBorder="1" applyAlignment="1">
      <alignment horizontal="right" vertical="top" wrapText="1"/>
    </xf>
    <xf numFmtId="170" fontId="14" fillId="0" borderId="3" xfId="0" applyNumberFormat="1" applyFont="1" applyBorder="1" applyAlignment="1">
      <alignment horizontal="right" vertical="top" wrapText="1"/>
    </xf>
    <xf numFmtId="170" fontId="14" fillId="0" borderId="2" xfId="0" applyNumberFormat="1" applyFont="1" applyBorder="1" applyAlignment="1">
      <alignment horizontal="right" vertical="top" wrapText="1"/>
    </xf>
    <xf numFmtId="169" fontId="23" fillId="0" borderId="0" xfId="3" applyNumberFormat="1" applyFont="1" applyAlignment="1">
      <alignment vertical="top"/>
    </xf>
    <xf numFmtId="170" fontId="12" fillId="0" borderId="0" xfId="3" applyNumberFormat="1" applyFont="1" applyAlignment="1">
      <alignment vertical="top"/>
    </xf>
    <xf numFmtId="170" fontId="14" fillId="6" borderId="18" xfId="0" applyNumberFormat="1" applyFont="1" applyFill="1" applyBorder="1" applyAlignment="1">
      <alignment horizontal="right" vertical="top"/>
    </xf>
    <xf numFmtId="170" fontId="14" fillId="0" borderId="3" xfId="0" applyNumberFormat="1" applyFont="1" applyBorder="1" applyAlignment="1">
      <alignment horizontal="right" vertical="top"/>
    </xf>
    <xf numFmtId="170" fontId="14" fillId="6" borderId="10" xfId="0" applyNumberFormat="1" applyFont="1" applyFill="1" applyBorder="1" applyAlignment="1">
      <alignment horizontal="right" vertical="top"/>
    </xf>
    <xf numFmtId="170" fontId="12" fillId="0" borderId="0" xfId="0" applyNumberFormat="1" applyFont="1" applyAlignment="1">
      <alignment vertical="top"/>
    </xf>
    <xf numFmtId="169" fontId="14" fillId="9" borderId="3" xfId="0" applyNumberFormat="1" applyFont="1" applyFill="1" applyBorder="1" applyAlignment="1">
      <alignment horizontal="right" vertical="top"/>
    </xf>
    <xf numFmtId="169" fontId="15" fillId="9" borderId="3" xfId="0" applyNumberFormat="1" applyFont="1" applyFill="1" applyBorder="1" applyAlignment="1">
      <alignment horizontal="right" vertical="top"/>
    </xf>
    <xf numFmtId="169" fontId="15" fillId="9" borderId="1" xfId="0" applyNumberFormat="1" applyFont="1" applyFill="1" applyBorder="1" applyAlignment="1">
      <alignment horizontal="right" vertical="top"/>
    </xf>
    <xf numFmtId="169" fontId="15" fillId="9" borderId="2" xfId="0" applyNumberFormat="1" applyFont="1" applyFill="1" applyBorder="1" applyAlignment="1">
      <alignment horizontal="right" vertical="top"/>
    </xf>
    <xf numFmtId="169" fontId="20" fillId="9" borderId="18" xfId="0" applyNumberFormat="1" applyFont="1" applyFill="1" applyBorder="1" applyAlignment="1">
      <alignment horizontal="right" vertical="top"/>
    </xf>
    <xf numFmtId="169" fontId="20" fillId="9" borderId="10" xfId="0" applyNumberFormat="1" applyFont="1" applyFill="1" applyBorder="1" applyAlignment="1">
      <alignment horizontal="right" vertical="top"/>
    </xf>
    <xf numFmtId="169" fontId="20" fillId="6" borderId="18" xfId="0" applyNumberFormat="1" applyFont="1" applyFill="1" applyBorder="1" applyAlignment="1">
      <alignment horizontal="right" vertical="top"/>
    </xf>
    <xf numFmtId="169" fontId="20" fillId="6" borderId="10" xfId="0" applyNumberFormat="1" applyFont="1" applyFill="1" applyBorder="1" applyAlignment="1">
      <alignment horizontal="right" vertical="top"/>
    </xf>
    <xf numFmtId="169" fontId="14" fillId="11" borderId="3" xfId="0" applyNumberFormat="1" applyFont="1" applyFill="1" applyBorder="1" applyAlignment="1">
      <alignment horizontal="right" vertical="top" wrapText="1"/>
    </xf>
    <xf numFmtId="169" fontId="14" fillId="11" borderId="1" xfId="0" applyNumberFormat="1" applyFont="1" applyFill="1" applyBorder="1" applyAlignment="1">
      <alignment horizontal="right" vertical="top" wrapText="1"/>
    </xf>
    <xf numFmtId="169" fontId="14" fillId="11" borderId="2" xfId="0" applyNumberFormat="1" applyFont="1" applyFill="1" applyBorder="1" applyAlignment="1">
      <alignment horizontal="right" vertical="top" wrapText="1"/>
    </xf>
    <xf numFmtId="169" fontId="14" fillId="11" borderId="18" xfId="0" applyNumberFormat="1" applyFont="1" applyFill="1" applyBorder="1" applyAlignment="1">
      <alignment horizontal="right" vertical="top"/>
    </xf>
    <xf numFmtId="169" fontId="14" fillId="11" borderId="10" xfId="0" applyNumberFormat="1" applyFont="1" applyFill="1" applyBorder="1" applyAlignment="1">
      <alignment horizontal="right" vertical="top"/>
    </xf>
    <xf numFmtId="169" fontId="24" fillId="0" borderId="1" xfId="0" applyNumberFormat="1" applyFont="1" applyBorder="1" applyAlignment="1">
      <alignment horizontal="right" vertical="top" wrapText="1"/>
    </xf>
    <xf numFmtId="169" fontId="24" fillId="15" borderId="1" xfId="0" applyNumberFormat="1" applyFont="1" applyFill="1" applyBorder="1" applyAlignment="1">
      <alignment horizontal="right" vertical="top" wrapText="1"/>
    </xf>
    <xf numFmtId="169" fontId="22" fillId="6" borderId="1" xfId="0" applyNumberFormat="1" applyFont="1" applyFill="1" applyBorder="1" applyAlignment="1">
      <alignment horizontal="right" vertical="top" wrapText="1"/>
    </xf>
    <xf numFmtId="169" fontId="17" fillId="6" borderId="10" xfId="0" applyNumberFormat="1" applyFont="1" applyFill="1" applyBorder="1" applyAlignment="1">
      <alignment horizontal="right" vertical="top" wrapText="1"/>
    </xf>
    <xf numFmtId="169" fontId="15" fillId="6" borderId="18" xfId="0" applyNumberFormat="1" applyFont="1" applyFill="1" applyBorder="1" applyAlignment="1">
      <alignment horizontal="right" vertical="top"/>
    </xf>
    <xf numFmtId="169" fontId="15" fillId="0" borderId="3" xfId="0" applyNumberFormat="1" applyFont="1" applyBorder="1" applyAlignment="1">
      <alignment horizontal="right" vertical="top"/>
    </xf>
    <xf numFmtId="169" fontId="23" fillId="2" borderId="1" xfId="0" applyNumberFormat="1" applyFont="1" applyFill="1" applyBorder="1" applyAlignment="1">
      <alignment horizontal="right" vertical="top" wrapText="1"/>
    </xf>
    <xf numFmtId="10" fontId="12" fillId="0" borderId="0" xfId="3" applyNumberFormat="1" applyFont="1" applyAlignment="1">
      <alignment vertical="top" wrapText="1"/>
    </xf>
    <xf numFmtId="169" fontId="24" fillId="2" borderId="1" xfId="0" applyNumberFormat="1" applyFont="1" applyFill="1" applyBorder="1" applyAlignment="1">
      <alignment horizontal="right" vertical="top" wrapText="1"/>
    </xf>
    <xf numFmtId="0" fontId="23" fillId="0" borderId="8" xfId="0" applyFont="1" applyBorder="1" applyAlignment="1">
      <alignment horizontal="left" vertical="top" wrapText="1"/>
    </xf>
    <xf numFmtId="0" fontId="23" fillId="2" borderId="8" xfId="0" applyFont="1" applyFill="1" applyBorder="1" applyAlignment="1">
      <alignment horizontal="left" vertical="top" wrapText="1"/>
    </xf>
    <xf numFmtId="169" fontId="7" fillId="2" borderId="1" xfId="0" applyNumberFormat="1" applyFont="1" applyFill="1" applyBorder="1" applyAlignment="1">
      <alignment horizontal="right" vertical="top" wrapText="1"/>
    </xf>
    <xf numFmtId="169" fontId="1" fillId="6" borderId="1" xfId="0" applyNumberFormat="1" applyFont="1" applyFill="1" applyBorder="1" applyAlignment="1">
      <alignment horizontal="right" vertical="top" wrapText="1"/>
    </xf>
    <xf numFmtId="0" fontId="23" fillId="6" borderId="11" xfId="0" applyFont="1" applyFill="1" applyBorder="1" applyAlignment="1">
      <alignment horizontal="left" vertical="top" wrapText="1"/>
    </xf>
    <xf numFmtId="169" fontId="14" fillId="2" borderId="1" xfId="0" applyNumberFormat="1" applyFont="1" applyFill="1" applyBorder="1" applyAlignment="1">
      <alignment horizontal="right" vertical="center" wrapText="1"/>
    </xf>
    <xf numFmtId="169" fontId="27" fillId="2" borderId="1" xfId="0" applyNumberFormat="1" applyFont="1" applyFill="1" applyBorder="1" applyAlignment="1">
      <alignment horizontal="right" vertical="top" wrapText="1"/>
    </xf>
    <xf numFmtId="169" fontId="23" fillId="2" borderId="1" xfId="2" applyNumberFormat="1" applyFont="1" applyFill="1" applyBorder="1" applyAlignment="1">
      <alignment horizontal="right" vertical="top" wrapText="1"/>
    </xf>
    <xf numFmtId="0" fontId="11" fillId="2" borderId="0" xfId="0" applyFont="1" applyFill="1" applyAlignment="1">
      <alignment horizontal="left" vertical="top"/>
    </xf>
    <xf numFmtId="0" fontId="10" fillId="2" borderId="0" xfId="0" applyFont="1" applyFill="1" applyAlignment="1">
      <alignment horizontal="left" vertical="top"/>
    </xf>
    <xf numFmtId="0" fontId="0" fillId="2" borderId="0" xfId="0" applyFill="1" applyAlignment="1">
      <alignment horizontal="left" vertical="top"/>
    </xf>
    <xf numFmtId="0" fontId="13" fillId="19" borderId="13" xfId="0" applyFont="1" applyFill="1" applyBorder="1" applyAlignment="1">
      <alignment horizontal="center" vertical="top" wrapText="1"/>
    </xf>
    <xf numFmtId="170" fontId="12" fillId="2" borderId="1" xfId="0" applyNumberFormat="1" applyFont="1" applyFill="1" applyBorder="1" applyAlignment="1">
      <alignment horizontal="right" vertical="top" wrapText="1"/>
    </xf>
    <xf numFmtId="170" fontId="12" fillId="2" borderId="1" xfId="0" applyNumberFormat="1" applyFont="1" applyFill="1" applyBorder="1" applyAlignment="1">
      <alignment vertical="top" wrapText="1"/>
    </xf>
    <xf numFmtId="169" fontId="24" fillId="2" borderId="1" xfId="0" applyNumberFormat="1" applyFont="1" applyFill="1" applyBorder="1" applyAlignment="1">
      <alignment vertical="top" wrapText="1"/>
    </xf>
    <xf numFmtId="169" fontId="12" fillId="2" borderId="1" xfId="0" applyNumberFormat="1" applyFont="1" applyFill="1" applyBorder="1" applyAlignment="1">
      <alignment vertical="top" wrapText="1"/>
    </xf>
    <xf numFmtId="0" fontId="1" fillId="20" borderId="7" xfId="0" applyFont="1" applyFill="1" applyBorder="1" applyAlignment="1">
      <alignment horizontal="left" vertical="top" wrapText="1"/>
    </xf>
    <xf numFmtId="169" fontId="1" fillId="20" borderId="1" xfId="0" applyNumberFormat="1" applyFont="1" applyFill="1" applyBorder="1" applyAlignment="1">
      <alignment vertical="top" wrapText="1"/>
    </xf>
    <xf numFmtId="0" fontId="12" fillId="20" borderId="1" xfId="0" applyFont="1" applyFill="1" applyBorder="1" applyAlignment="1">
      <alignment horizontal="right" vertical="top" wrapText="1"/>
    </xf>
    <xf numFmtId="170" fontId="1" fillId="20" borderId="1" xfId="0" applyNumberFormat="1" applyFont="1" applyFill="1" applyBorder="1" applyAlignment="1">
      <alignment vertical="top" wrapText="1"/>
    </xf>
    <xf numFmtId="169" fontId="13" fillId="20" borderId="1" xfId="1" applyNumberFormat="1" applyFont="1" applyFill="1" applyBorder="1" applyAlignment="1">
      <alignment vertical="top" wrapText="1"/>
    </xf>
    <xf numFmtId="0" fontId="12" fillId="20" borderId="8" xfId="0" applyFont="1" applyFill="1" applyBorder="1" applyAlignment="1">
      <alignment horizontal="left" vertical="top" wrapText="1"/>
    </xf>
    <xf numFmtId="169" fontId="25" fillId="2" borderId="1" xfId="0" applyNumberFormat="1" applyFont="1" applyFill="1" applyBorder="1" applyAlignment="1">
      <alignment horizontal="right" vertical="top" wrapText="1"/>
    </xf>
    <xf numFmtId="169" fontId="13" fillId="20" borderId="1" xfId="0" applyNumberFormat="1" applyFont="1" applyFill="1" applyBorder="1" applyAlignment="1">
      <alignment horizontal="right" vertical="top" wrapText="1"/>
    </xf>
    <xf numFmtId="0" fontId="12" fillId="20" borderId="1" xfId="0" applyFont="1" applyFill="1" applyBorder="1" applyAlignment="1">
      <alignment horizontal="left" vertical="top" wrapText="1"/>
    </xf>
    <xf numFmtId="170" fontId="13" fillId="6" borderId="1" xfId="0" applyNumberFormat="1" applyFont="1" applyFill="1" applyBorder="1" applyAlignment="1">
      <alignment horizontal="right" vertical="top" wrapText="1"/>
    </xf>
    <xf numFmtId="165" fontId="13" fillId="6" borderId="10" xfId="1" applyFont="1" applyFill="1" applyBorder="1" applyAlignment="1">
      <alignment horizontal="right" vertical="top" wrapText="1"/>
    </xf>
    <xf numFmtId="170" fontId="13" fillId="3" borderId="1" xfId="0" applyNumberFormat="1" applyFont="1" applyFill="1" applyBorder="1" applyAlignment="1">
      <alignment horizontal="right" vertical="top" wrapText="1"/>
    </xf>
    <xf numFmtId="170" fontId="13" fillId="3" borderId="1" xfId="2" applyNumberFormat="1" applyFont="1" applyFill="1" applyBorder="1" applyAlignment="1">
      <alignment horizontal="right" vertical="top" wrapText="1"/>
    </xf>
    <xf numFmtId="169" fontId="27" fillId="2" borderId="1" xfId="0" applyNumberFormat="1" applyFont="1" applyFill="1" applyBorder="1" applyAlignment="1">
      <alignment vertical="top" wrapText="1"/>
    </xf>
    <xf numFmtId="169" fontId="23" fillId="2" borderId="1" xfId="2" applyNumberFormat="1" applyFont="1" applyFill="1" applyBorder="1" applyAlignment="1">
      <alignment vertical="top" wrapText="1"/>
    </xf>
    <xf numFmtId="169" fontId="12" fillId="0" borderId="0" xfId="0" applyNumberFormat="1" applyFont="1" applyAlignment="1">
      <alignment vertical="top"/>
    </xf>
    <xf numFmtId="170" fontId="15" fillId="0" borderId="1" xfId="0" applyNumberFormat="1" applyFont="1" applyBorder="1" applyAlignment="1">
      <alignment horizontal="right" vertical="top" wrapText="1"/>
    </xf>
    <xf numFmtId="165" fontId="12" fillId="0" borderId="0" xfId="0" applyNumberFormat="1" applyFont="1" applyAlignment="1">
      <alignment vertical="top"/>
    </xf>
    <xf numFmtId="170" fontId="15" fillId="6" borderId="10" xfId="0" applyNumberFormat="1" applyFont="1" applyFill="1" applyBorder="1" applyAlignment="1">
      <alignment horizontal="right" vertical="top"/>
    </xf>
    <xf numFmtId="169" fontId="15" fillId="2" borderId="1" xfId="0" applyNumberFormat="1" applyFont="1" applyFill="1" applyBorder="1" applyAlignment="1">
      <alignment horizontal="right" vertical="center" wrapText="1"/>
    </xf>
    <xf numFmtId="170" fontId="23" fillId="0" borderId="0" xfId="0" applyNumberFormat="1" applyFont="1" applyAlignment="1">
      <alignment vertical="top"/>
    </xf>
    <xf numFmtId="0" fontId="12" fillId="15" borderId="8" xfId="0" applyFont="1" applyFill="1" applyBorder="1" applyAlignment="1">
      <alignment horizontal="left" vertical="top" wrapText="1"/>
    </xf>
    <xf numFmtId="0" fontId="20" fillId="7" borderId="5" xfId="0" applyFont="1" applyFill="1" applyBorder="1" applyAlignment="1">
      <alignment horizontal="center" vertical="top" wrapText="1"/>
    </xf>
    <xf numFmtId="0" fontId="12" fillId="15" borderId="7" xfId="0" applyFont="1" applyFill="1" applyBorder="1" applyAlignment="1">
      <alignment horizontal="left" vertical="top" wrapText="1"/>
    </xf>
    <xf numFmtId="0" fontId="12" fillId="15" borderId="1" xfId="0" applyFont="1" applyFill="1" applyBorder="1" applyAlignment="1">
      <alignment horizontal="left" vertical="top" wrapText="1"/>
    </xf>
    <xf numFmtId="0" fontId="12" fillId="15" borderId="8" xfId="0" applyFont="1" applyFill="1" applyBorder="1" applyAlignment="1">
      <alignment horizontal="left" vertical="top" wrapText="1"/>
    </xf>
    <xf numFmtId="0" fontId="13" fillId="15" borderId="17" xfId="0" applyFont="1" applyFill="1" applyBorder="1" applyAlignment="1">
      <alignment horizontal="left" vertical="top" wrapText="1"/>
    </xf>
    <xf numFmtId="0" fontId="13" fillId="15" borderId="18" xfId="0" applyFont="1" applyFill="1" applyBorder="1" applyAlignment="1">
      <alignment horizontal="left" vertical="top" wrapText="1"/>
    </xf>
    <xf numFmtId="0" fontId="13" fillId="15" borderId="19" xfId="0" applyFont="1" applyFill="1" applyBorder="1" applyAlignment="1">
      <alignment horizontal="left" vertical="top" wrapText="1"/>
    </xf>
    <xf numFmtId="0" fontId="12" fillId="15" borderId="15" xfId="0" applyFont="1" applyFill="1" applyBorder="1" applyAlignment="1">
      <alignment horizontal="left" vertical="top" wrapText="1"/>
    </xf>
    <xf numFmtId="0" fontId="12" fillId="15" borderId="3" xfId="0" applyFont="1" applyFill="1" applyBorder="1" applyAlignment="1">
      <alignment horizontal="left" vertical="top" wrapText="1"/>
    </xf>
    <xf numFmtId="0" fontId="12" fillId="15" borderId="16" xfId="0" applyFont="1" applyFill="1" applyBorder="1" applyAlignment="1">
      <alignment horizontal="left" vertical="top" wrapText="1"/>
    </xf>
    <xf numFmtId="0" fontId="13" fillId="15" borderId="7" xfId="0" applyFont="1" applyFill="1" applyBorder="1" applyAlignment="1">
      <alignment horizontal="left" vertical="top" wrapText="1"/>
    </xf>
    <xf numFmtId="0" fontId="13" fillId="15" borderId="1" xfId="0" applyFont="1" applyFill="1" applyBorder="1" applyAlignment="1">
      <alignment horizontal="left" vertical="top" wrapText="1"/>
    </xf>
    <xf numFmtId="0" fontId="13" fillId="16" borderId="17" xfId="0" applyFont="1" applyFill="1" applyBorder="1" applyAlignment="1">
      <alignment horizontal="left" vertical="top" wrapText="1"/>
    </xf>
    <xf numFmtId="0" fontId="13" fillId="16" borderId="18" xfId="0" applyFont="1" applyFill="1" applyBorder="1" applyAlignment="1">
      <alignment horizontal="left" vertical="top" wrapText="1"/>
    </xf>
    <xf numFmtId="0" fontId="13" fillId="16" borderId="19" xfId="0" applyFont="1" applyFill="1" applyBorder="1" applyAlignment="1">
      <alignment horizontal="left" vertical="top" wrapText="1"/>
    </xf>
    <xf numFmtId="0" fontId="13" fillId="3" borderId="17" xfId="0" applyFont="1" applyFill="1" applyBorder="1" applyAlignment="1">
      <alignment horizontal="left" vertical="top" wrapText="1"/>
    </xf>
    <xf numFmtId="0" fontId="13" fillId="3" borderId="18" xfId="0" applyFont="1" applyFill="1" applyBorder="1" applyAlignment="1">
      <alignment horizontal="left" vertical="top" wrapText="1"/>
    </xf>
    <xf numFmtId="0" fontId="13" fillId="3" borderId="19" xfId="0" applyFont="1" applyFill="1" applyBorder="1" applyAlignment="1">
      <alignment horizontal="left" vertical="top" wrapText="1"/>
    </xf>
    <xf numFmtId="0" fontId="20" fillId="7" borderId="5" xfId="0" applyFont="1" applyFill="1" applyBorder="1" applyAlignment="1">
      <alignment horizontal="center" vertical="top" wrapText="1"/>
    </xf>
    <xf numFmtId="0" fontId="20" fillId="7" borderId="10" xfId="0" applyFont="1" applyFill="1" applyBorder="1" applyAlignment="1">
      <alignment horizontal="center" vertical="top" wrapText="1"/>
    </xf>
    <xf numFmtId="0" fontId="13" fillId="8" borderId="5" xfId="0" applyFont="1" applyFill="1" applyBorder="1" applyAlignment="1">
      <alignment horizontal="center" vertical="top"/>
    </xf>
    <xf numFmtId="0" fontId="13" fillId="8" borderId="6" xfId="0" applyFont="1" applyFill="1" applyBorder="1" applyAlignment="1">
      <alignment horizontal="center" vertical="top"/>
    </xf>
    <xf numFmtId="0" fontId="20" fillId="4" borderId="4" xfId="0" applyFont="1" applyFill="1" applyBorder="1" applyAlignment="1">
      <alignment horizontal="center" vertical="top" wrapText="1"/>
    </xf>
    <xf numFmtId="0" fontId="20" fillId="4" borderId="9" xfId="0" applyFont="1" applyFill="1" applyBorder="1" applyAlignment="1">
      <alignment horizontal="center" vertical="top" wrapText="1"/>
    </xf>
    <xf numFmtId="0" fontId="20" fillId="19" borderId="5" xfId="0" applyFont="1" applyFill="1" applyBorder="1" applyAlignment="1">
      <alignment horizontal="center" vertical="top" wrapText="1"/>
    </xf>
    <xf numFmtId="0" fontId="20" fillId="18" borderId="22" xfId="0" applyFont="1" applyFill="1" applyBorder="1" applyAlignment="1">
      <alignment horizontal="center" vertical="top" wrapText="1"/>
    </xf>
    <xf numFmtId="0" fontId="20" fillId="18" borderId="23" xfId="0" applyFont="1" applyFill="1" applyBorder="1" applyAlignment="1">
      <alignment horizontal="center" vertical="top" wrapText="1"/>
    </xf>
    <xf numFmtId="0" fontId="20" fillId="18" borderId="24" xfId="0" applyFont="1" applyFill="1" applyBorder="1" applyAlignment="1">
      <alignment horizontal="center" vertical="top" wrapText="1"/>
    </xf>
    <xf numFmtId="0" fontId="20" fillId="21" borderId="22" xfId="0" applyFont="1" applyFill="1" applyBorder="1" applyAlignment="1">
      <alignment horizontal="center" vertical="top" wrapText="1"/>
    </xf>
    <xf numFmtId="0" fontId="20" fillId="21" borderId="23" xfId="0" applyFont="1" applyFill="1" applyBorder="1" applyAlignment="1">
      <alignment horizontal="center" vertical="top" wrapText="1"/>
    </xf>
    <xf numFmtId="0" fontId="20" fillId="21" borderId="24" xfId="0" applyFont="1" applyFill="1" applyBorder="1" applyAlignment="1">
      <alignment horizontal="center"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HCHR-User/OneDrive%20-%20United%20Nations%20Development%20Programme/Documents/PROJETS/PROJET%20PBF/RH/2019_SC_proforma_Sept2018_FINAL_v1%20-%20Service%20Contr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 Proforma Cost By CO "/>
      <sheetName val="SC PROFORMA BENCHMARK COSTS"/>
      <sheetName val="danger pay"/>
      <sheetName val="base remuneration"/>
      <sheetName val="UN_PRO_FORMA_SC"/>
      <sheetName val="HDS_class"/>
    </sheetNames>
    <sheetDataSet>
      <sheetData sheetId="0">
        <row r="621">
          <cell r="AE621">
            <v>1670.2311817500001</v>
          </cell>
        </row>
      </sheetData>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Francis Adoum" id="{ACCB6F84-97C1-434D-967B-E55BF5AC2478}" userId="S::fadoum@unicef.org::67eeddf4-b09d-4f74-8f94-f193aff04cd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Y11" dT="2021-05-25T13:31:22.81" personId="{ACCB6F84-97C1-434D-967B-E55BF5AC2478}" id="{3F25F687-5129-4233-842F-89C6052645AB}">
    <text>Le surplus de 89,363.71 est reparti comme suit:
50,000 UDS pris sur les categories 2 (20,000) et 3 (30,000) car UNICEF a utilise ses propres; et ce montant a ete transfere au PE pour l'organisation des dialogues communautaires                         39,363.71 USD pris sur la categorie 4 et transfere au PE pour faire le suivi des activites pendant durrant les mesures restrictives COVID19</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0"/>
  <sheetViews>
    <sheetView view="pageBreakPreview" topLeftCell="A49" zoomScale="110" zoomScaleSheetLayoutView="110" workbookViewId="0">
      <selection activeCell="M26" sqref="M26"/>
    </sheetView>
  </sheetViews>
  <sheetFormatPr defaultColWidth="10.7265625" defaultRowHeight="14.5" x14ac:dyDescent="0.35"/>
  <cols>
    <col min="1" max="1" width="16.1796875" style="18" customWidth="1"/>
    <col min="2" max="2" width="36.54296875" style="18" customWidth="1"/>
    <col min="3" max="3" width="11.7265625" style="18" customWidth="1"/>
    <col min="4" max="4" width="11.7265625" style="180" customWidth="1"/>
    <col min="5" max="6" width="11.7265625" style="18" customWidth="1"/>
    <col min="7" max="7" width="14" style="18" customWidth="1"/>
    <col min="8" max="8" width="11.7265625" style="18" customWidth="1"/>
    <col min="9" max="9" width="14" style="138" customWidth="1"/>
    <col min="10" max="10" width="11.7265625" style="18" customWidth="1"/>
    <col min="11" max="11" width="14" style="18" customWidth="1"/>
    <col min="12" max="12" width="14.7265625" style="18" customWidth="1"/>
    <col min="13" max="13" width="15.26953125" style="18" customWidth="1"/>
    <col min="14" max="14" width="8.453125" style="18" hidden="1" customWidth="1"/>
    <col min="15" max="15" width="8.26953125" style="18" hidden="1" customWidth="1"/>
    <col min="16" max="16" width="3.54296875" style="18" customWidth="1"/>
    <col min="17" max="17" width="28.7265625" style="18" customWidth="1"/>
    <col min="18" max="18" width="34.26953125" style="18" customWidth="1"/>
    <col min="19" max="16384" width="10.7265625" style="18"/>
  </cols>
  <sheetData>
    <row r="1" spans="1:31" ht="20" x14ac:dyDescent="0.35">
      <c r="A1" s="43" t="s">
        <v>0</v>
      </c>
      <c r="B1" s="17"/>
      <c r="C1" s="17"/>
      <c r="D1" s="178"/>
    </row>
    <row r="2" spans="1:31" ht="15.5" x14ac:dyDescent="0.35">
      <c r="A2" s="44"/>
      <c r="B2" s="19"/>
      <c r="C2" s="19"/>
      <c r="D2" s="179"/>
    </row>
    <row r="3" spans="1:31" ht="15.5" x14ac:dyDescent="0.35">
      <c r="A3" s="45" t="s">
        <v>1</v>
      </c>
      <c r="B3" s="19"/>
      <c r="C3" s="19"/>
      <c r="D3" s="179"/>
    </row>
    <row r="4" spans="1:31" x14ac:dyDescent="0.35">
      <c r="A4" s="45"/>
    </row>
    <row r="5" spans="1:31" ht="15" x14ac:dyDescent="0.35">
      <c r="A5" s="44" t="s">
        <v>2</v>
      </c>
    </row>
    <row r="6" spans="1:31" ht="15" thickBot="1" x14ac:dyDescent="0.4"/>
    <row r="7" spans="1:31" s="20" customFormat="1" ht="112.5" thickBot="1" x14ac:dyDescent="0.4">
      <c r="A7" s="5" t="s">
        <v>3</v>
      </c>
      <c r="B7" s="6" t="s">
        <v>4</v>
      </c>
      <c r="C7" s="7" t="s">
        <v>5</v>
      </c>
      <c r="D7" s="181" t="s">
        <v>6</v>
      </c>
      <c r="E7" s="8" t="s">
        <v>7</v>
      </c>
      <c r="F7" s="9" t="s">
        <v>8</v>
      </c>
      <c r="G7" s="6" t="s">
        <v>9</v>
      </c>
      <c r="H7" s="10" t="s">
        <v>10</v>
      </c>
      <c r="I7" s="10" t="s">
        <v>11</v>
      </c>
      <c r="J7" s="10" t="s">
        <v>12</v>
      </c>
      <c r="K7" s="10" t="s">
        <v>13</v>
      </c>
      <c r="L7" s="10" t="s">
        <v>14</v>
      </c>
      <c r="M7" s="11" t="s">
        <v>15</v>
      </c>
    </row>
    <row r="8" spans="1:31" s="20" customFormat="1" ht="15" thickBot="1" x14ac:dyDescent="0.4">
      <c r="A8" s="220" t="s">
        <v>16</v>
      </c>
      <c r="B8" s="221"/>
      <c r="C8" s="221"/>
      <c r="D8" s="221"/>
      <c r="E8" s="221"/>
      <c r="F8" s="221"/>
      <c r="G8" s="221"/>
      <c r="H8" s="221"/>
      <c r="I8" s="221"/>
      <c r="J8" s="221"/>
      <c r="K8" s="221"/>
      <c r="L8" s="221"/>
      <c r="M8" s="222"/>
    </row>
    <row r="9" spans="1:31" s="20" customFormat="1" x14ac:dyDescent="0.35">
      <c r="A9" s="215" t="s">
        <v>17</v>
      </c>
      <c r="B9" s="216"/>
      <c r="C9" s="216"/>
      <c r="D9" s="216"/>
      <c r="E9" s="216"/>
      <c r="F9" s="216"/>
      <c r="G9" s="216"/>
      <c r="H9" s="216"/>
      <c r="I9" s="216"/>
      <c r="J9" s="216"/>
      <c r="K9" s="216"/>
      <c r="L9" s="216"/>
      <c r="M9" s="217"/>
    </row>
    <row r="10" spans="1:31" s="22" customFormat="1" ht="42" x14ac:dyDescent="0.35">
      <c r="A10" s="12" t="s">
        <v>18</v>
      </c>
      <c r="B10" s="1" t="s">
        <v>19</v>
      </c>
      <c r="C10" s="60">
        <v>0</v>
      </c>
      <c r="D10" s="60">
        <v>65000</v>
      </c>
      <c r="E10" s="60">
        <v>0</v>
      </c>
      <c r="F10" s="60">
        <v>0</v>
      </c>
      <c r="G10" s="46">
        <v>1</v>
      </c>
      <c r="H10" s="86">
        <v>0</v>
      </c>
      <c r="I10" s="182">
        <v>57597.41</v>
      </c>
      <c r="J10" s="169"/>
      <c r="K10" s="63"/>
      <c r="L10" s="64">
        <f>H10+I10+J10+K10</f>
        <v>57597.41</v>
      </c>
      <c r="M10" s="2"/>
      <c r="N10" s="21">
        <f>D10</f>
        <v>65000</v>
      </c>
      <c r="O10" s="22">
        <f>N10*G10</f>
        <v>65000</v>
      </c>
    </row>
    <row r="11" spans="1:31" s="23" customFormat="1" ht="84" x14ac:dyDescent="0.35">
      <c r="A11" s="12" t="s">
        <v>20</v>
      </c>
      <c r="B11" s="1" t="s">
        <v>21</v>
      </c>
      <c r="C11" s="60">
        <v>35000</v>
      </c>
      <c r="D11" s="60">
        <v>50000</v>
      </c>
      <c r="E11" s="177">
        <v>50000</v>
      </c>
      <c r="F11" s="60">
        <v>0</v>
      </c>
      <c r="G11" s="46">
        <v>1</v>
      </c>
      <c r="H11" s="86">
        <v>10401.006711409396</v>
      </c>
      <c r="I11" s="182">
        <v>27624.29</v>
      </c>
      <c r="J11" s="176">
        <v>50430.16</v>
      </c>
      <c r="K11" s="63"/>
      <c r="L11" s="64">
        <f>H11+I11+J11+K11</f>
        <v>88455.45671140941</v>
      </c>
      <c r="M11" s="2"/>
      <c r="N11" s="21">
        <f>F11+E11+D11+C11</f>
        <v>135000</v>
      </c>
      <c r="O11" s="22">
        <f>N11*G11</f>
        <v>135000</v>
      </c>
      <c r="P11" s="22"/>
      <c r="Q11" s="22"/>
      <c r="R11" s="22"/>
      <c r="S11" s="22"/>
      <c r="T11" s="22"/>
      <c r="U11" s="22"/>
      <c r="V11" s="22"/>
      <c r="W11" s="22"/>
      <c r="X11" s="22"/>
      <c r="Y11" s="22"/>
      <c r="Z11" s="22"/>
      <c r="AA11" s="22"/>
      <c r="AB11" s="22"/>
      <c r="AC11" s="22"/>
      <c r="AD11" s="22"/>
      <c r="AE11" s="22"/>
    </row>
    <row r="12" spans="1:31" s="20" customFormat="1" ht="98" x14ac:dyDescent="0.35">
      <c r="A12" s="12" t="s">
        <v>22</v>
      </c>
      <c r="B12" s="1" t="s">
        <v>23</v>
      </c>
      <c r="C12" s="60">
        <v>30000</v>
      </c>
      <c r="D12" s="60">
        <v>0</v>
      </c>
      <c r="E12" s="60">
        <v>30000</v>
      </c>
      <c r="F12" s="60">
        <v>0</v>
      </c>
      <c r="G12" s="47">
        <v>1</v>
      </c>
      <c r="H12" s="86">
        <v>21322.413793103449</v>
      </c>
      <c r="I12" s="86">
        <v>0</v>
      </c>
      <c r="J12" s="169">
        <v>10727.22</v>
      </c>
      <c r="K12" s="63"/>
      <c r="L12" s="64">
        <f>H12+I12+J12+K12</f>
        <v>32049.63379310345</v>
      </c>
      <c r="M12" s="3"/>
      <c r="N12" s="21">
        <f>F12+E12+D12+C12</f>
        <v>60000</v>
      </c>
      <c r="O12" s="22">
        <f>N12*G12</f>
        <v>60000</v>
      </c>
    </row>
    <row r="13" spans="1:31" s="20" customFormat="1" ht="112" x14ac:dyDescent="0.35">
      <c r="A13" s="12" t="s">
        <v>24</v>
      </c>
      <c r="B13" s="13" t="s">
        <v>25</v>
      </c>
      <c r="C13" s="60">
        <v>132000</v>
      </c>
      <c r="D13" s="60">
        <v>0</v>
      </c>
      <c r="E13" s="177">
        <v>0</v>
      </c>
      <c r="F13" s="60">
        <v>0</v>
      </c>
      <c r="G13" s="48">
        <v>0.7</v>
      </c>
      <c r="H13" s="167">
        <v>132000</v>
      </c>
      <c r="I13" s="86">
        <v>0</v>
      </c>
      <c r="J13" s="176">
        <v>2137.0300000000002</v>
      </c>
      <c r="K13" s="63">
        <v>0</v>
      </c>
      <c r="L13" s="64">
        <f>H13+I13+J13+K13</f>
        <v>134137.03</v>
      </c>
      <c r="M13" s="170" t="s">
        <v>122</v>
      </c>
      <c r="N13" s="21">
        <f>F13+E13+D13+C13</f>
        <v>132000</v>
      </c>
      <c r="O13" s="22">
        <f>N13*G13</f>
        <v>92400</v>
      </c>
    </row>
    <row r="14" spans="1:31" s="20" customFormat="1" x14ac:dyDescent="0.35">
      <c r="A14" s="24" t="s">
        <v>26</v>
      </c>
      <c r="B14" s="62">
        <f>C14+D14+E14</f>
        <v>392000</v>
      </c>
      <c r="C14" s="61">
        <f>SUM(C10:C13)</f>
        <v>197000</v>
      </c>
      <c r="D14" s="61">
        <f>SUM(D10:D13)</f>
        <v>115000</v>
      </c>
      <c r="E14" s="61">
        <f>SUM(E10:E13)</f>
        <v>80000</v>
      </c>
      <c r="F14" s="61"/>
      <c r="G14" s="49"/>
      <c r="H14" s="61">
        <f>SUM(H10:H13)</f>
        <v>163723.42050451285</v>
      </c>
      <c r="I14" s="198">
        <f>SUM(I10:I13)</f>
        <v>85221.700000000012</v>
      </c>
      <c r="J14" s="61">
        <f>SUM(J10:J13)</f>
        <v>63294.41</v>
      </c>
      <c r="K14" s="61">
        <f>SUM(K10:K13)</f>
        <v>0</v>
      </c>
      <c r="L14" s="65">
        <f>SUM(L10:L13)</f>
        <v>312239.53050451283</v>
      </c>
      <c r="M14" s="16"/>
    </row>
    <row r="15" spans="1:31" s="20" customFormat="1" x14ac:dyDescent="0.35">
      <c r="A15" s="209" t="s">
        <v>27</v>
      </c>
      <c r="B15" s="210"/>
      <c r="C15" s="210"/>
      <c r="D15" s="210"/>
      <c r="E15" s="210"/>
      <c r="F15" s="210"/>
      <c r="G15" s="210"/>
      <c r="H15" s="210"/>
      <c r="I15" s="210"/>
      <c r="J15" s="210"/>
      <c r="K15" s="210"/>
      <c r="L15" s="210"/>
      <c r="M15" s="211"/>
    </row>
    <row r="16" spans="1:31" s="20" customFormat="1" ht="28" x14ac:dyDescent="0.35">
      <c r="A16" s="25" t="s">
        <v>28</v>
      </c>
      <c r="B16" s="13" t="s">
        <v>29</v>
      </c>
      <c r="C16" s="67">
        <v>15000</v>
      </c>
      <c r="D16" s="67">
        <v>30000</v>
      </c>
      <c r="E16" s="67">
        <v>15000</v>
      </c>
      <c r="F16" s="67">
        <v>0</v>
      </c>
      <c r="G16" s="46">
        <v>0.5</v>
      </c>
      <c r="H16" s="68">
        <v>0</v>
      </c>
      <c r="I16" s="183">
        <v>19885.84</v>
      </c>
      <c r="J16" s="184">
        <v>8118.79</v>
      </c>
      <c r="K16" s="68"/>
      <c r="L16" s="69">
        <f>H16+I16+J16+K16</f>
        <v>28004.63</v>
      </c>
      <c r="M16" s="4"/>
      <c r="N16" s="21">
        <f>F16+E16+D16+C16</f>
        <v>60000</v>
      </c>
      <c r="O16" s="20">
        <f>N16*G16</f>
        <v>30000</v>
      </c>
    </row>
    <row r="17" spans="1:15" s="20" customFormat="1" ht="84" x14ac:dyDescent="0.35">
      <c r="A17" s="25" t="s">
        <v>30</v>
      </c>
      <c r="B17" s="13" t="s">
        <v>31</v>
      </c>
      <c r="C17" s="67">
        <v>10000</v>
      </c>
      <c r="D17" s="67">
        <v>30000</v>
      </c>
      <c r="E17" s="67">
        <v>0</v>
      </c>
      <c r="F17" s="67">
        <v>0</v>
      </c>
      <c r="G17" s="46">
        <v>0.5</v>
      </c>
      <c r="H17" s="68">
        <v>0</v>
      </c>
      <c r="I17" s="185">
        <v>21000</v>
      </c>
      <c r="J17" s="184">
        <v>0</v>
      </c>
      <c r="K17" s="68"/>
      <c r="L17" s="69">
        <f>H17+I17+J17+K17</f>
        <v>21000</v>
      </c>
      <c r="M17" s="2"/>
      <c r="N17" s="21">
        <f>F17+E17+D17+C17</f>
        <v>40000</v>
      </c>
      <c r="O17" s="20">
        <f>N17*G17</f>
        <v>20000</v>
      </c>
    </row>
    <row r="18" spans="1:15" s="20" customFormat="1" ht="71" x14ac:dyDescent="0.35">
      <c r="A18" s="25" t="s">
        <v>32</v>
      </c>
      <c r="B18" s="13" t="s">
        <v>33</v>
      </c>
      <c r="C18" s="67">
        <v>0</v>
      </c>
      <c r="D18" s="67">
        <v>0</v>
      </c>
      <c r="E18" s="200">
        <v>10000</v>
      </c>
      <c r="F18" s="67">
        <v>0</v>
      </c>
      <c r="G18" s="46">
        <v>0.2</v>
      </c>
      <c r="H18" s="68">
        <v>0</v>
      </c>
      <c r="I18" s="185">
        <v>0</v>
      </c>
      <c r="J18" s="199">
        <v>17917.419999999998</v>
      </c>
      <c r="K18" s="68"/>
      <c r="L18" s="69">
        <f>H18+I18+J18+K18</f>
        <v>17917.419999999998</v>
      </c>
      <c r="M18" s="170" t="s">
        <v>123</v>
      </c>
      <c r="N18" s="21">
        <f>F18+E18+D18+C18</f>
        <v>10000</v>
      </c>
      <c r="O18" s="20">
        <f>N18*G18</f>
        <v>2000</v>
      </c>
    </row>
    <row r="19" spans="1:15" s="20" customFormat="1" ht="56" x14ac:dyDescent="0.35">
      <c r="A19" s="25" t="s">
        <v>34</v>
      </c>
      <c r="B19" s="13" t="s">
        <v>35</v>
      </c>
      <c r="C19" s="67">
        <v>15000</v>
      </c>
      <c r="D19" s="67">
        <v>25000</v>
      </c>
      <c r="E19" s="67">
        <v>50000</v>
      </c>
      <c r="F19" s="67">
        <v>0</v>
      </c>
      <c r="G19" s="46">
        <v>0.5</v>
      </c>
      <c r="H19" s="68">
        <v>0</v>
      </c>
      <c r="I19" s="185">
        <v>17500</v>
      </c>
      <c r="J19" s="184">
        <v>46551.51</v>
      </c>
      <c r="K19" s="68"/>
      <c r="L19" s="69">
        <f>H19+I19+J19+K19</f>
        <v>64051.51</v>
      </c>
      <c r="M19" s="2"/>
      <c r="N19" s="21">
        <f>F19+E19+D19+C19</f>
        <v>90000</v>
      </c>
      <c r="O19" s="20">
        <f>N19*G19</f>
        <v>45000</v>
      </c>
    </row>
    <row r="20" spans="1:15" s="20" customFormat="1" ht="56" x14ac:dyDescent="0.35">
      <c r="A20" s="25" t="s">
        <v>36</v>
      </c>
      <c r="B20" s="13" t="s">
        <v>37</v>
      </c>
      <c r="C20" s="67">
        <v>0</v>
      </c>
      <c r="D20" s="67">
        <v>0</v>
      </c>
      <c r="E20" s="67">
        <v>30000</v>
      </c>
      <c r="F20" s="67">
        <v>0</v>
      </c>
      <c r="G20" s="46">
        <v>0.3</v>
      </c>
      <c r="H20" s="68">
        <v>0</v>
      </c>
      <c r="I20" s="185">
        <v>0</v>
      </c>
      <c r="J20" s="184">
        <v>0</v>
      </c>
      <c r="K20" s="68"/>
      <c r="L20" s="69">
        <f>H20+I20+J20+K20</f>
        <v>0</v>
      </c>
      <c r="M20" s="4"/>
      <c r="N20" s="21">
        <f>F20+E20+D20+C20</f>
        <v>30000</v>
      </c>
      <c r="O20" s="20">
        <f>N20*G20</f>
        <v>9000</v>
      </c>
    </row>
    <row r="21" spans="1:15" s="20" customFormat="1" x14ac:dyDescent="0.35">
      <c r="A21" s="186" t="s">
        <v>38</v>
      </c>
      <c r="B21" s="187">
        <f>C21+D21+E21</f>
        <v>230000</v>
      </c>
      <c r="C21" s="187">
        <f>SUM(C16:C20)</f>
        <v>40000</v>
      </c>
      <c r="D21" s="187">
        <f>SUM(D16:D20)</f>
        <v>85000</v>
      </c>
      <c r="E21" s="187">
        <f>SUM(E16:E20)</f>
        <v>105000</v>
      </c>
      <c r="F21" s="187"/>
      <c r="G21" s="188"/>
      <c r="H21" s="187">
        <f>SUM(H16:H20)</f>
        <v>0</v>
      </c>
      <c r="I21" s="189">
        <f>SUM(I16:I20)</f>
        <v>58385.84</v>
      </c>
      <c r="J21" s="187">
        <f>SUM(J16:J20)</f>
        <v>72587.72</v>
      </c>
      <c r="K21" s="187">
        <f>SUM(K16:K20)</f>
        <v>0</v>
      </c>
      <c r="L21" s="190">
        <f>SUM(L16:L20)</f>
        <v>130973.56</v>
      </c>
      <c r="M21" s="191"/>
    </row>
    <row r="22" spans="1:15" s="20" customFormat="1" x14ac:dyDescent="0.35">
      <c r="A22" s="209" t="s">
        <v>39</v>
      </c>
      <c r="B22" s="210"/>
      <c r="C22" s="210"/>
      <c r="D22" s="210"/>
      <c r="E22" s="210"/>
      <c r="F22" s="210"/>
      <c r="G22" s="210"/>
      <c r="H22" s="210"/>
      <c r="I22" s="210"/>
      <c r="J22" s="210"/>
      <c r="K22" s="210"/>
      <c r="L22" s="210"/>
      <c r="M22" s="211"/>
    </row>
    <row r="23" spans="1:15" s="20" customFormat="1" ht="70" x14ac:dyDescent="0.35">
      <c r="A23" s="25" t="s">
        <v>40</v>
      </c>
      <c r="B23" s="13" t="s">
        <v>41</v>
      </c>
      <c r="C23" s="60">
        <v>0</v>
      </c>
      <c r="D23" s="60">
        <v>50000</v>
      </c>
      <c r="E23" s="60">
        <v>45000</v>
      </c>
      <c r="F23" s="60">
        <v>0</v>
      </c>
      <c r="G23" s="46">
        <v>0.35</v>
      </c>
      <c r="H23" s="86">
        <v>0</v>
      </c>
      <c r="I23" s="182">
        <v>25906.37</v>
      </c>
      <c r="J23" s="192">
        <v>0</v>
      </c>
      <c r="K23" s="63"/>
      <c r="L23" s="64">
        <f>H23+I23+J23+K23</f>
        <v>25906.37</v>
      </c>
      <c r="M23" s="2"/>
      <c r="N23" s="21">
        <f>F23+E23+D23+C23</f>
        <v>95000</v>
      </c>
      <c r="O23" s="20">
        <f>N23*G23</f>
        <v>33250</v>
      </c>
    </row>
    <row r="24" spans="1:15" s="20" customFormat="1" ht="84" x14ac:dyDescent="0.35">
      <c r="A24" s="25" t="s">
        <v>42</v>
      </c>
      <c r="B24" s="13" t="s">
        <v>43</v>
      </c>
      <c r="C24" s="60">
        <v>25000</v>
      </c>
      <c r="D24" s="60">
        <v>70000</v>
      </c>
      <c r="E24" s="60">
        <v>40000</v>
      </c>
      <c r="F24" s="60">
        <v>0</v>
      </c>
      <c r="G24" s="46">
        <v>0.35</v>
      </c>
      <c r="H24" s="86">
        <v>9964.7651006711403</v>
      </c>
      <c r="I24" s="86">
        <v>49000</v>
      </c>
      <c r="J24" s="169">
        <v>32195.149999999998</v>
      </c>
      <c r="K24" s="63"/>
      <c r="L24" s="64">
        <f>H24+I24+J24+K24</f>
        <v>91159.915100671133</v>
      </c>
      <c r="M24" s="2"/>
      <c r="N24" s="21">
        <f>F24+E24+D24+C24</f>
        <v>135000</v>
      </c>
      <c r="O24" s="20">
        <f>N24*G24</f>
        <v>47250</v>
      </c>
    </row>
    <row r="25" spans="1:15" s="20" customFormat="1" ht="42" x14ac:dyDescent="0.35">
      <c r="A25" s="25" t="s">
        <v>44</v>
      </c>
      <c r="B25" s="13" t="s">
        <v>45</v>
      </c>
      <c r="C25" s="60">
        <v>0</v>
      </c>
      <c r="D25" s="60">
        <v>30000</v>
      </c>
      <c r="E25" s="60">
        <v>20000</v>
      </c>
      <c r="F25" s="60">
        <v>0</v>
      </c>
      <c r="G25" s="46">
        <v>0.35</v>
      </c>
      <c r="H25" s="86">
        <v>0</v>
      </c>
      <c r="I25" s="182">
        <v>15196.78</v>
      </c>
      <c r="J25" s="169">
        <v>0</v>
      </c>
      <c r="K25" s="63"/>
      <c r="L25" s="64">
        <f>H25+I25+J25+K25</f>
        <v>15196.78</v>
      </c>
      <c r="M25" s="2"/>
      <c r="N25" s="21">
        <f>F25+E25+D25+C25</f>
        <v>50000</v>
      </c>
      <c r="O25" s="20">
        <f>N25*G25</f>
        <v>17500</v>
      </c>
    </row>
    <row r="26" spans="1:15" s="20" customFormat="1" ht="71" x14ac:dyDescent="0.35">
      <c r="A26" s="25" t="s">
        <v>46</v>
      </c>
      <c r="B26" s="13" t="s">
        <v>47</v>
      </c>
      <c r="C26" s="60">
        <v>0</v>
      </c>
      <c r="D26" s="60">
        <v>57000</v>
      </c>
      <c r="E26" s="177">
        <v>0</v>
      </c>
      <c r="F26" s="60">
        <v>0</v>
      </c>
      <c r="G26" s="46">
        <v>0.5</v>
      </c>
      <c r="H26" s="86">
        <v>0</v>
      </c>
      <c r="I26" s="86">
        <v>39900</v>
      </c>
      <c r="J26" s="176">
        <v>8680.67</v>
      </c>
      <c r="K26" s="63"/>
      <c r="L26" s="64">
        <f>H26+I26+J26+K26</f>
        <v>48580.67</v>
      </c>
      <c r="M26" s="170" t="s">
        <v>123</v>
      </c>
      <c r="N26" s="21">
        <f>F26+E26+D26+C26</f>
        <v>57000</v>
      </c>
      <c r="O26" s="20">
        <f>N26*G26</f>
        <v>28500</v>
      </c>
    </row>
    <row r="27" spans="1:15" s="20" customFormat="1" x14ac:dyDescent="0.35">
      <c r="A27" s="24" t="s">
        <v>48</v>
      </c>
      <c r="B27" s="73">
        <f>C27+D27+E27</f>
        <v>337000</v>
      </c>
      <c r="C27" s="62">
        <f>SUM(C23:C26)</f>
        <v>25000</v>
      </c>
      <c r="D27" s="62">
        <f>SUM(D23:D26)</f>
        <v>207000</v>
      </c>
      <c r="E27" s="62">
        <f>SUM(E23:E26)</f>
        <v>105000</v>
      </c>
      <c r="F27" s="62"/>
      <c r="G27" s="51"/>
      <c r="H27" s="62">
        <f>SUM(H23:H26)</f>
        <v>9964.7651006711403</v>
      </c>
      <c r="I27" s="197">
        <f>SUM(I23:I26)</f>
        <v>130003.15</v>
      </c>
      <c r="J27" s="62">
        <f>SUM(J23:J26)</f>
        <v>40875.82</v>
      </c>
      <c r="K27" s="62">
        <f>SUM(K23:K26)</f>
        <v>0</v>
      </c>
      <c r="L27" s="65">
        <f>SUM(L23:L26)</f>
        <v>180843.73510067113</v>
      </c>
      <c r="M27" s="16"/>
    </row>
    <row r="28" spans="1:15" s="20" customFormat="1" ht="28.5" thickBot="1" x14ac:dyDescent="0.4">
      <c r="A28" s="27" t="s">
        <v>49</v>
      </c>
      <c r="B28" s="70">
        <f>C28+D28+E28</f>
        <v>959000</v>
      </c>
      <c r="C28" s="70">
        <f>C14+C21+C27</f>
        <v>262000</v>
      </c>
      <c r="D28" s="62">
        <f>D14+D21+D27</f>
        <v>407000</v>
      </c>
      <c r="E28" s="70">
        <f>E14+E21+E27</f>
        <v>290000</v>
      </c>
      <c r="F28" s="70"/>
      <c r="G28" s="59"/>
      <c r="H28" s="70">
        <f>H14+H21+H27</f>
        <v>173688.185605184</v>
      </c>
      <c r="I28" s="197">
        <f>I14+I21+I27</f>
        <v>273610.69</v>
      </c>
      <c r="J28" s="70">
        <f>J14+J21+J27</f>
        <v>176757.95</v>
      </c>
      <c r="K28" s="70">
        <f>K14+K21+K27</f>
        <v>0</v>
      </c>
      <c r="L28" s="72">
        <f>L14+L21+L27</f>
        <v>624056.82560518396</v>
      </c>
      <c r="M28" s="28"/>
    </row>
    <row r="29" spans="1:15" s="20" customFormat="1" ht="15" thickBot="1" x14ac:dyDescent="0.4">
      <c r="A29" s="223" t="s">
        <v>50</v>
      </c>
      <c r="B29" s="224"/>
      <c r="C29" s="224"/>
      <c r="D29" s="224"/>
      <c r="E29" s="224"/>
      <c r="F29" s="224"/>
      <c r="G29" s="224"/>
      <c r="H29" s="224"/>
      <c r="I29" s="224"/>
      <c r="J29" s="224"/>
      <c r="K29" s="224"/>
      <c r="L29" s="224"/>
      <c r="M29" s="225"/>
    </row>
    <row r="30" spans="1:15" s="20" customFormat="1" x14ac:dyDescent="0.35">
      <c r="A30" s="215" t="s">
        <v>51</v>
      </c>
      <c r="B30" s="216"/>
      <c r="C30" s="216"/>
      <c r="D30" s="216"/>
      <c r="E30" s="216"/>
      <c r="F30" s="216"/>
      <c r="G30" s="216"/>
      <c r="H30" s="216"/>
      <c r="I30" s="216"/>
      <c r="J30" s="216"/>
      <c r="K30" s="216"/>
      <c r="L30" s="216"/>
      <c r="M30" s="217"/>
    </row>
    <row r="31" spans="1:15" s="20" customFormat="1" ht="84" x14ac:dyDescent="0.35">
      <c r="A31" s="29" t="s">
        <v>52</v>
      </c>
      <c r="B31" s="30" t="s">
        <v>53</v>
      </c>
      <c r="C31" s="74">
        <v>0</v>
      </c>
      <c r="D31" s="74">
        <v>75000</v>
      </c>
      <c r="E31" s="177">
        <v>50000</v>
      </c>
      <c r="F31" s="74">
        <v>0</v>
      </c>
      <c r="G31" s="50">
        <v>0.5</v>
      </c>
      <c r="H31" s="86">
        <v>0</v>
      </c>
      <c r="I31" s="86">
        <v>52500</v>
      </c>
      <c r="J31" s="176">
        <v>51745</v>
      </c>
      <c r="K31" s="75"/>
      <c r="L31" s="76">
        <f>H31+I31+J31+K31</f>
        <v>104245</v>
      </c>
      <c r="M31" s="170" t="s">
        <v>7</v>
      </c>
      <c r="N31" s="21">
        <f>F31+E31+D31+C31</f>
        <v>125000</v>
      </c>
      <c r="O31" s="20">
        <f>N31*G31</f>
        <v>62500</v>
      </c>
    </row>
    <row r="32" spans="1:15" s="20" customFormat="1" ht="112" x14ac:dyDescent="0.35">
      <c r="A32" s="31" t="s">
        <v>54</v>
      </c>
      <c r="B32" s="26" t="s">
        <v>55</v>
      </c>
      <c r="C32" s="60">
        <v>0</v>
      </c>
      <c r="D32" s="60">
        <v>75000</v>
      </c>
      <c r="E32" s="177">
        <v>50000</v>
      </c>
      <c r="F32" s="60">
        <v>0</v>
      </c>
      <c r="G32" s="46">
        <v>0.5</v>
      </c>
      <c r="H32" s="86">
        <v>0</v>
      </c>
      <c r="I32" s="182">
        <v>51991.7</v>
      </c>
      <c r="J32" s="176">
        <v>51000</v>
      </c>
      <c r="K32" s="63"/>
      <c r="L32" s="64">
        <f>H32+I32+J32+K32</f>
        <v>102991.7</v>
      </c>
      <c r="M32" s="171" t="s">
        <v>7</v>
      </c>
      <c r="N32" s="21">
        <f>F32+E32+D32+C32</f>
        <v>125000</v>
      </c>
      <c r="O32" s="20">
        <f>N32*G32</f>
        <v>62500</v>
      </c>
    </row>
    <row r="33" spans="1:22" s="20" customFormat="1" ht="56" x14ac:dyDescent="0.35">
      <c r="A33" s="31" t="s">
        <v>56</v>
      </c>
      <c r="B33" s="26" t="s">
        <v>57</v>
      </c>
      <c r="C33" s="60">
        <v>15000</v>
      </c>
      <c r="D33" s="60">
        <v>50000</v>
      </c>
      <c r="E33" s="60">
        <v>0</v>
      </c>
      <c r="F33" s="60">
        <v>0</v>
      </c>
      <c r="G33" s="46">
        <v>0.5</v>
      </c>
      <c r="H33" s="86">
        <v>9786.4932885906001</v>
      </c>
      <c r="I33" s="86">
        <v>35000</v>
      </c>
      <c r="J33" s="169">
        <v>0</v>
      </c>
      <c r="K33" s="63"/>
      <c r="L33" s="64">
        <f>H33+I33+J33+K33</f>
        <v>44786.493288590602</v>
      </c>
      <c r="M33" s="4"/>
      <c r="N33" s="21">
        <f>F33+E33+D33+C33</f>
        <v>65000</v>
      </c>
      <c r="O33" s="20">
        <f>N33*G33</f>
        <v>32500</v>
      </c>
    </row>
    <row r="34" spans="1:22" s="20" customFormat="1" ht="84" x14ac:dyDescent="0.35">
      <c r="A34" s="31" t="s">
        <v>58</v>
      </c>
      <c r="B34" s="26" t="s">
        <v>59</v>
      </c>
      <c r="C34" s="60">
        <v>0</v>
      </c>
      <c r="D34" s="60">
        <v>65000</v>
      </c>
      <c r="E34" s="60">
        <v>75000</v>
      </c>
      <c r="F34" s="60">
        <v>0</v>
      </c>
      <c r="G34" s="46">
        <v>1</v>
      </c>
      <c r="H34" s="86">
        <v>0</v>
      </c>
      <c r="I34" s="86">
        <v>45500</v>
      </c>
      <c r="J34" s="169">
        <v>51850</v>
      </c>
      <c r="K34" s="63"/>
      <c r="L34" s="64">
        <f>H34+I34+J34+K34</f>
        <v>97350</v>
      </c>
      <c r="M34" s="4"/>
      <c r="N34" s="21">
        <f>F34+E34+D34+C34</f>
        <v>140000</v>
      </c>
      <c r="O34" s="20">
        <f>N34*G34</f>
        <v>140000</v>
      </c>
    </row>
    <row r="35" spans="1:22" s="20" customFormat="1" x14ac:dyDescent="0.35">
      <c r="A35" s="24" t="s">
        <v>60</v>
      </c>
      <c r="B35" s="71">
        <f>C35+D35+E35</f>
        <v>455000</v>
      </c>
      <c r="C35" s="62">
        <f>SUM(C31:C34)</f>
        <v>15000</v>
      </c>
      <c r="D35" s="62">
        <f>SUM(D31:D34)</f>
        <v>265000</v>
      </c>
      <c r="E35" s="62">
        <f>SUM(E31:E34)</f>
        <v>175000</v>
      </c>
      <c r="F35" s="62"/>
      <c r="G35" s="51"/>
      <c r="H35" s="62">
        <f>SUM(H31:H34)</f>
        <v>9786.4932885906001</v>
      </c>
      <c r="I35" s="62">
        <f>SUM(I31:I34)</f>
        <v>184991.7</v>
      </c>
      <c r="J35" s="62">
        <f>SUM(J31:J34)</f>
        <v>154595</v>
      </c>
      <c r="K35" s="62">
        <f>SUM(K31:K34)</f>
        <v>0</v>
      </c>
      <c r="L35" s="66">
        <f>SUM(L31:L34)</f>
        <v>349373.19328859064</v>
      </c>
      <c r="M35" s="16"/>
    </row>
    <row r="36" spans="1:22" s="20" customFormat="1" x14ac:dyDescent="0.35">
      <c r="A36" s="209" t="s">
        <v>61</v>
      </c>
      <c r="B36" s="210"/>
      <c r="C36" s="210"/>
      <c r="D36" s="210"/>
      <c r="E36" s="210"/>
      <c r="F36" s="210"/>
      <c r="G36" s="210"/>
      <c r="H36" s="210"/>
      <c r="I36" s="210"/>
      <c r="J36" s="210"/>
      <c r="K36" s="210"/>
      <c r="L36" s="210"/>
      <c r="M36" s="211"/>
    </row>
    <row r="37" spans="1:22" s="20" customFormat="1" ht="98" x14ac:dyDescent="0.35">
      <c r="A37" s="31" t="s">
        <v>62</v>
      </c>
      <c r="B37" s="26" t="s">
        <v>63</v>
      </c>
      <c r="C37" s="67">
        <v>0</v>
      </c>
      <c r="D37" s="67">
        <v>50000</v>
      </c>
      <c r="E37" s="67">
        <v>40000</v>
      </c>
      <c r="F37" s="67">
        <v>0</v>
      </c>
      <c r="G37" s="52">
        <v>1</v>
      </c>
      <c r="H37" s="68">
        <v>0</v>
      </c>
      <c r="I37" s="185">
        <v>35000</v>
      </c>
      <c r="J37" s="184">
        <v>35660.75</v>
      </c>
      <c r="K37" s="68">
        <v>0</v>
      </c>
      <c r="L37" s="69">
        <f>H37+I37+J37+K37</f>
        <v>70660.75</v>
      </c>
      <c r="M37" s="2"/>
      <c r="N37" s="21">
        <f>F37+E37+D37+C37</f>
        <v>90000</v>
      </c>
      <c r="O37" s="20">
        <f>N37*G37</f>
        <v>90000</v>
      </c>
    </row>
    <row r="38" spans="1:22" s="20" customFormat="1" ht="70" x14ac:dyDescent="0.35">
      <c r="A38" s="31" t="s">
        <v>64</v>
      </c>
      <c r="B38" s="26" t="s">
        <v>65</v>
      </c>
      <c r="C38" s="67">
        <v>0</v>
      </c>
      <c r="D38" s="67">
        <v>40000</v>
      </c>
      <c r="E38" s="67">
        <v>40000</v>
      </c>
      <c r="F38" s="67">
        <v>0</v>
      </c>
      <c r="G38" s="52">
        <v>0.3</v>
      </c>
      <c r="H38" s="68">
        <v>0</v>
      </c>
      <c r="I38" s="185">
        <v>28000</v>
      </c>
      <c r="J38" s="184">
        <v>40000</v>
      </c>
      <c r="K38" s="68">
        <v>0</v>
      </c>
      <c r="L38" s="69">
        <f>H38+I38+J38+K38</f>
        <v>68000</v>
      </c>
      <c r="M38" s="2"/>
      <c r="N38" s="21">
        <f>F38+E38+D38+C38</f>
        <v>80000</v>
      </c>
      <c r="O38" s="20">
        <f>N38*G38</f>
        <v>24000</v>
      </c>
    </row>
    <row r="39" spans="1:22" s="20" customFormat="1" ht="42" x14ac:dyDescent="0.35">
      <c r="A39" s="31" t="s">
        <v>66</v>
      </c>
      <c r="B39" s="26" t="s">
        <v>67</v>
      </c>
      <c r="C39" s="67">
        <v>0</v>
      </c>
      <c r="D39" s="67">
        <v>50000</v>
      </c>
      <c r="E39" s="67">
        <v>10000</v>
      </c>
      <c r="F39" s="67">
        <v>0</v>
      </c>
      <c r="G39" s="52">
        <v>0.6</v>
      </c>
      <c r="H39" s="68">
        <v>0</v>
      </c>
      <c r="I39" s="185">
        <v>35000</v>
      </c>
      <c r="J39" s="184">
        <v>0</v>
      </c>
      <c r="K39" s="68">
        <v>0</v>
      </c>
      <c r="L39" s="69">
        <f>H39+I39+J39+K39</f>
        <v>35000</v>
      </c>
      <c r="M39" s="2"/>
      <c r="N39" s="21">
        <f>F39+E39+D39+C39</f>
        <v>60000</v>
      </c>
      <c r="O39" s="20">
        <f>N39*G39</f>
        <v>36000</v>
      </c>
    </row>
    <row r="40" spans="1:22" s="20" customFormat="1" ht="42" x14ac:dyDescent="0.35">
      <c r="A40" s="31" t="s">
        <v>68</v>
      </c>
      <c r="B40" s="26" t="s">
        <v>69</v>
      </c>
      <c r="C40" s="67">
        <v>0</v>
      </c>
      <c r="D40" s="67">
        <v>40000</v>
      </c>
      <c r="E40" s="67">
        <v>60000</v>
      </c>
      <c r="F40" s="67">
        <v>0</v>
      </c>
      <c r="G40" s="46">
        <v>0.9</v>
      </c>
      <c r="H40" s="68">
        <v>0</v>
      </c>
      <c r="I40" s="185">
        <v>28000</v>
      </c>
      <c r="J40" s="184">
        <v>12500</v>
      </c>
      <c r="K40" s="68">
        <v>0</v>
      </c>
      <c r="L40" s="69">
        <f>H40+I40+J40+K40</f>
        <v>40500</v>
      </c>
      <c r="M40" s="2"/>
      <c r="N40" s="21">
        <f>F40+E40+D40+C40</f>
        <v>100000</v>
      </c>
      <c r="O40" s="20">
        <f>N40*G40</f>
        <v>90000</v>
      </c>
    </row>
    <row r="41" spans="1:22" s="20" customFormat="1" x14ac:dyDescent="0.35">
      <c r="A41" s="24" t="s">
        <v>70</v>
      </c>
      <c r="B41" s="79">
        <f>C41+D41+E41</f>
        <v>330000</v>
      </c>
      <c r="C41" s="77">
        <f>SUM(C37:C40)</f>
        <v>0</v>
      </c>
      <c r="D41" s="77">
        <f>SUM(D37:D40)</f>
        <v>180000</v>
      </c>
      <c r="E41" s="77">
        <f>SUM(E37:E40)</f>
        <v>150000</v>
      </c>
      <c r="F41" s="77"/>
      <c r="G41" s="51"/>
      <c r="H41" s="77">
        <f>SUM(H37:H40)</f>
        <v>0</v>
      </c>
      <c r="I41" s="77">
        <f>SUM(I37:I40)</f>
        <v>126000</v>
      </c>
      <c r="J41" s="77">
        <f>SUM(J37:J40)</f>
        <v>88160.75</v>
      </c>
      <c r="K41" s="77">
        <f>SUM(K37:K40)</f>
        <v>0</v>
      </c>
      <c r="L41" s="80">
        <f>SUM(L37:L40)</f>
        <v>214160.75</v>
      </c>
      <c r="M41" s="2"/>
    </row>
    <row r="42" spans="1:22" s="20" customFormat="1" ht="28.5" thickBot="1" x14ac:dyDescent="0.4">
      <c r="A42" s="27" t="s">
        <v>71</v>
      </c>
      <c r="B42" s="78">
        <f>C42+D42+E42</f>
        <v>785000</v>
      </c>
      <c r="C42" s="78">
        <f>C35+C41</f>
        <v>15000</v>
      </c>
      <c r="D42" s="78">
        <f>D35+D41</f>
        <v>445000</v>
      </c>
      <c r="E42" s="78">
        <f>E35+E41</f>
        <v>325000</v>
      </c>
      <c r="F42" s="78"/>
      <c r="G42" s="53"/>
      <c r="H42" s="78">
        <f>H35+H41</f>
        <v>9786.4932885906001</v>
      </c>
      <c r="I42" s="77">
        <f>I35+I41</f>
        <v>310991.7</v>
      </c>
      <c r="J42" s="77">
        <f>J35+J41</f>
        <v>242755.75</v>
      </c>
      <c r="K42" s="78">
        <v>0</v>
      </c>
      <c r="L42" s="81">
        <f>L35+L41</f>
        <v>563533.94328859064</v>
      </c>
      <c r="M42" s="32"/>
    </row>
    <row r="43" spans="1:22" s="20" customFormat="1" ht="15" thickBot="1" x14ac:dyDescent="0.4">
      <c r="A43" s="212" t="s">
        <v>72</v>
      </c>
      <c r="B43" s="213"/>
      <c r="C43" s="213"/>
      <c r="D43" s="213"/>
      <c r="E43" s="213"/>
      <c r="F43" s="213"/>
      <c r="G43" s="213"/>
      <c r="H43" s="213"/>
      <c r="I43" s="213"/>
      <c r="J43" s="213"/>
      <c r="K43" s="213"/>
      <c r="L43" s="213"/>
      <c r="M43" s="214"/>
    </row>
    <row r="44" spans="1:22" s="20" customFormat="1" x14ac:dyDescent="0.35">
      <c r="A44" s="215" t="s">
        <v>73</v>
      </c>
      <c r="B44" s="216"/>
      <c r="C44" s="216"/>
      <c r="D44" s="216"/>
      <c r="E44" s="216"/>
      <c r="F44" s="216"/>
      <c r="G44" s="216"/>
      <c r="H44" s="216"/>
      <c r="I44" s="216"/>
      <c r="J44" s="216"/>
      <c r="K44" s="216"/>
      <c r="L44" s="216"/>
      <c r="M44" s="217"/>
    </row>
    <row r="45" spans="1:22" s="34" customFormat="1" ht="42" x14ac:dyDescent="0.35">
      <c r="A45" s="14" t="s">
        <v>74</v>
      </c>
      <c r="B45" s="1" t="s">
        <v>75</v>
      </c>
      <c r="C45" s="60">
        <v>0</v>
      </c>
      <c r="D45" s="60">
        <v>0</v>
      </c>
      <c r="E45" s="60">
        <v>0</v>
      </c>
      <c r="F45" s="60">
        <v>770000</v>
      </c>
      <c r="G45" s="54">
        <v>0.3</v>
      </c>
      <c r="H45" s="63">
        <v>0</v>
      </c>
      <c r="I45" s="86">
        <v>0</v>
      </c>
      <c r="J45" s="63">
        <v>0</v>
      </c>
      <c r="K45" s="75">
        <v>345645.77</v>
      </c>
      <c r="L45" s="64">
        <f>H45+I45+J45+K45</f>
        <v>345645.77</v>
      </c>
      <c r="M45" s="2"/>
      <c r="N45" s="21">
        <f>F45+E45+D45+C45</f>
        <v>770000</v>
      </c>
      <c r="O45" s="20">
        <f>N45*G45</f>
        <v>231000</v>
      </c>
      <c r="P45" s="33"/>
      <c r="Q45" s="33"/>
      <c r="R45" s="33"/>
      <c r="S45" s="33"/>
      <c r="T45" s="33"/>
      <c r="U45" s="33"/>
      <c r="V45" s="33"/>
    </row>
    <row r="46" spans="1:22" s="20" customFormat="1" x14ac:dyDescent="0.35">
      <c r="A46" s="209" t="s">
        <v>76</v>
      </c>
      <c r="B46" s="210"/>
      <c r="C46" s="210"/>
      <c r="D46" s="210"/>
      <c r="E46" s="210"/>
      <c r="F46" s="210"/>
      <c r="G46" s="210"/>
      <c r="H46" s="210"/>
      <c r="I46" s="210"/>
      <c r="J46" s="210"/>
      <c r="K46" s="210"/>
      <c r="L46" s="210"/>
      <c r="M46" s="211"/>
    </row>
    <row r="47" spans="1:22" s="20" customFormat="1" ht="125.25" customHeight="1" x14ac:dyDescent="0.35">
      <c r="A47" s="12" t="s">
        <v>77</v>
      </c>
      <c r="B47" s="15" t="s">
        <v>78</v>
      </c>
      <c r="C47" s="86">
        <v>0</v>
      </c>
      <c r="D47" s="86">
        <v>0</v>
      </c>
      <c r="E47" s="86">
        <v>0</v>
      </c>
      <c r="F47" s="86">
        <v>15000</v>
      </c>
      <c r="G47" s="54">
        <v>0.15</v>
      </c>
      <c r="H47" s="63">
        <v>0</v>
      </c>
      <c r="I47" s="172">
        <v>0</v>
      </c>
      <c r="J47" s="63">
        <v>0</v>
      </c>
      <c r="K47" s="167">
        <v>0</v>
      </c>
      <c r="L47" s="64">
        <f>H47+I47+J47+K47</f>
        <v>0</v>
      </c>
      <c r="M47" s="171" t="s">
        <v>121</v>
      </c>
      <c r="N47" s="21">
        <f>F47+E47+D47+C47</f>
        <v>15000</v>
      </c>
      <c r="O47" s="20">
        <f>N47*G47</f>
        <v>2250</v>
      </c>
    </row>
    <row r="48" spans="1:22" s="20" customFormat="1" x14ac:dyDescent="0.35">
      <c r="A48" s="209" t="s">
        <v>79</v>
      </c>
      <c r="B48" s="210"/>
      <c r="C48" s="210"/>
      <c r="D48" s="210"/>
      <c r="E48" s="210"/>
      <c r="F48" s="210"/>
      <c r="G48" s="210"/>
      <c r="H48" s="210"/>
      <c r="I48" s="210"/>
      <c r="J48" s="210"/>
      <c r="K48" s="210"/>
      <c r="L48" s="210"/>
      <c r="M48" s="211"/>
    </row>
    <row r="49" spans="1:16" s="20" customFormat="1" x14ac:dyDescent="0.35">
      <c r="A49" s="12" t="s">
        <v>80</v>
      </c>
      <c r="B49" s="15" t="s">
        <v>81</v>
      </c>
      <c r="C49" s="86">
        <v>0</v>
      </c>
      <c r="D49" s="86">
        <v>0</v>
      </c>
      <c r="E49" s="86">
        <v>0</v>
      </c>
      <c r="F49" s="86">
        <v>5000</v>
      </c>
      <c r="G49" s="54">
        <v>0.15</v>
      </c>
      <c r="H49" s="63">
        <v>0</v>
      </c>
      <c r="I49" s="86">
        <v>0</v>
      </c>
      <c r="J49" s="63">
        <v>0</v>
      </c>
      <c r="K49" s="172">
        <v>4065.74</v>
      </c>
      <c r="L49" s="64">
        <f>H49+I49+J49+K49</f>
        <v>4065.74</v>
      </c>
      <c r="M49" s="35"/>
      <c r="N49" s="21">
        <f>F49+E49+D49+C49</f>
        <v>5000</v>
      </c>
      <c r="O49" s="20">
        <f>N49*G49</f>
        <v>750</v>
      </c>
    </row>
    <row r="50" spans="1:16" s="36" customFormat="1" x14ac:dyDescent="0.35">
      <c r="A50" s="24" t="s">
        <v>82</v>
      </c>
      <c r="B50" s="73">
        <f>C50+D50+E50</f>
        <v>0</v>
      </c>
      <c r="C50" s="62">
        <f>SUM(C45:C47)</f>
        <v>0</v>
      </c>
      <c r="D50" s="193">
        <f>SUM(D45:D49)</f>
        <v>0</v>
      </c>
      <c r="E50" s="193">
        <f>SUM(E45:E47)</f>
        <v>0</v>
      </c>
      <c r="F50" s="193">
        <f>F45+F47+F49</f>
        <v>790000</v>
      </c>
      <c r="G50" s="194"/>
      <c r="H50" s="193">
        <f>H45+H47+H49</f>
        <v>0</v>
      </c>
      <c r="I50" s="193">
        <f>I45+I47+I49</f>
        <v>0</v>
      </c>
      <c r="J50" s="62">
        <f>J45+J47+J49</f>
        <v>0</v>
      </c>
      <c r="K50" s="62">
        <f>K45+K47+K49</f>
        <v>349711.51</v>
      </c>
      <c r="L50" s="135">
        <f>L45+L47+L49</f>
        <v>349711.51</v>
      </c>
      <c r="M50" s="16"/>
    </row>
    <row r="51" spans="1:16" s="20" customFormat="1" ht="56" x14ac:dyDescent="0.35">
      <c r="A51" s="31" t="s">
        <v>83</v>
      </c>
      <c r="B51" s="26" t="s">
        <v>84</v>
      </c>
      <c r="C51" s="63">
        <v>81000</v>
      </c>
      <c r="D51" s="86">
        <v>126000</v>
      </c>
      <c r="E51" s="87">
        <v>40000</v>
      </c>
      <c r="F51" s="87">
        <v>0</v>
      </c>
      <c r="G51" s="48">
        <v>0</v>
      </c>
      <c r="H51" s="86">
        <f>25041.42+'[1]SC Proforma Cost By CO '!$AE$621*5</f>
        <v>33392.575908749997</v>
      </c>
      <c r="I51" s="182">
        <v>79480.899999999994</v>
      </c>
      <c r="J51" s="161">
        <v>48118</v>
      </c>
      <c r="K51" s="88"/>
      <c r="L51" s="64">
        <f>H51+I51+J51+K51</f>
        <v>160991.47590875</v>
      </c>
      <c r="M51" s="2"/>
      <c r="N51" s="21">
        <f>F51+E51+D51+C51</f>
        <v>247000</v>
      </c>
      <c r="O51" s="20">
        <f>N51*G51</f>
        <v>0</v>
      </c>
    </row>
    <row r="52" spans="1:16" s="20" customFormat="1" ht="56" x14ac:dyDescent="0.35">
      <c r="A52" s="31" t="s">
        <v>85</v>
      </c>
      <c r="B52" s="1" t="s">
        <v>86</v>
      </c>
      <c r="C52" s="63">
        <v>59617</v>
      </c>
      <c r="D52" s="86">
        <v>80000</v>
      </c>
      <c r="E52" s="63">
        <v>135000</v>
      </c>
      <c r="F52" s="63">
        <v>50000</v>
      </c>
      <c r="G52" s="48">
        <v>0</v>
      </c>
      <c r="H52" s="86">
        <v>35383</v>
      </c>
      <c r="I52" s="182">
        <v>44945.8</v>
      </c>
      <c r="J52" s="161">
        <v>46991</v>
      </c>
      <c r="K52" s="75">
        <v>15271.15</v>
      </c>
      <c r="L52" s="64">
        <f>H52+I52+J52+K52</f>
        <v>142590.95000000001</v>
      </c>
      <c r="M52" s="2"/>
      <c r="N52" s="21">
        <f>F52+E52+D52+C52</f>
        <v>324617</v>
      </c>
      <c r="O52" s="20">
        <f>N52*G52</f>
        <v>0</v>
      </c>
    </row>
    <row r="53" spans="1:16" s="20" customFormat="1" ht="84" x14ac:dyDescent="0.35">
      <c r="A53" s="31" t="s">
        <v>87</v>
      </c>
      <c r="B53" s="26" t="s">
        <v>88</v>
      </c>
      <c r="C53" s="86">
        <v>23000</v>
      </c>
      <c r="D53" s="86">
        <v>43000</v>
      </c>
      <c r="E53" s="86">
        <v>43000</v>
      </c>
      <c r="F53" s="86">
        <v>0</v>
      </c>
      <c r="G53" s="48">
        <v>0.15</v>
      </c>
      <c r="H53" s="167">
        <v>6772</v>
      </c>
      <c r="I53" s="86">
        <v>0</v>
      </c>
      <c r="J53" s="161">
        <v>8916.9200000000019</v>
      </c>
      <c r="K53" s="86"/>
      <c r="L53" s="64">
        <f>H53+I53+J53+K53</f>
        <v>15688.920000000002</v>
      </c>
      <c r="M53" s="171" t="s">
        <v>124</v>
      </c>
      <c r="N53" s="21">
        <f>F53+E53+D53+C53</f>
        <v>109000</v>
      </c>
      <c r="O53" s="20">
        <f>N53*G53</f>
        <v>16350</v>
      </c>
    </row>
    <row r="54" spans="1:16" s="20" customFormat="1" x14ac:dyDescent="0.35">
      <c r="A54" s="218" t="s">
        <v>89</v>
      </c>
      <c r="B54" s="219"/>
      <c r="C54" s="82">
        <v>0</v>
      </c>
      <c r="D54" s="82">
        <v>48000</v>
      </c>
      <c r="E54" s="82">
        <v>0</v>
      </c>
      <c r="F54" s="82">
        <v>0</v>
      </c>
      <c r="G54" s="58">
        <v>0.2</v>
      </c>
      <c r="H54" s="82"/>
      <c r="I54" s="139">
        <v>14165.39</v>
      </c>
      <c r="J54" s="162">
        <v>0</v>
      </c>
      <c r="K54" s="82">
        <v>0</v>
      </c>
      <c r="L54" s="64">
        <f>H54+I54+J54+K54</f>
        <v>14165.39</v>
      </c>
      <c r="M54" s="207"/>
      <c r="N54" s="21">
        <f>F54+E54+D54+C54</f>
        <v>48000</v>
      </c>
      <c r="O54" s="20">
        <f>N54*G54</f>
        <v>9600</v>
      </c>
    </row>
    <row r="55" spans="1:16" s="20" customFormat="1" ht="42" x14ac:dyDescent="0.35">
      <c r="A55" s="37" t="s">
        <v>90</v>
      </c>
      <c r="B55" s="83">
        <f>SUM(C55:F55)</f>
        <v>3262617</v>
      </c>
      <c r="C55" s="83">
        <f>SUM(C28+C42+C50+C51+C52+C53)</f>
        <v>440617</v>
      </c>
      <c r="D55" s="83">
        <f>SUM(D28+D42+D50+D51+D52+D53+D54)</f>
        <v>1149000</v>
      </c>
      <c r="E55" s="83">
        <f>SUM(E28+E42+E50+E51+E52+E53)</f>
        <v>833000</v>
      </c>
      <c r="F55" s="83">
        <f>SUM(F28+F42+F50+F51+F52+F53)</f>
        <v>840000</v>
      </c>
      <c r="G55" s="55"/>
      <c r="H55" s="83">
        <f>SUM(H28+H42+H50+H51+H52+H53)</f>
        <v>259022.25480252461</v>
      </c>
      <c r="I55" s="195">
        <f>SUM(I28+I42+I50+I51+I52+I53+I54)</f>
        <v>723194.4800000001</v>
      </c>
      <c r="J55" s="83">
        <f>SUM(J28+J42+J50+J51+J52+J53+J54)</f>
        <v>523539.62</v>
      </c>
      <c r="K55" s="136">
        <f>SUM(K28+K42+K50+K51+K52+K53+K54)</f>
        <v>364982.66000000003</v>
      </c>
      <c r="L55" s="65">
        <f>SUM(L28+L42+L50+L51+L52+L53+L54)</f>
        <v>1870739.0148025244</v>
      </c>
      <c r="M55" s="38" t="s">
        <v>91</v>
      </c>
      <c r="O55" s="20">
        <f>SUM(O9:O54)</f>
        <v>1382350</v>
      </c>
      <c r="P55" s="39"/>
    </row>
    <row r="56" spans="1:16" s="20" customFormat="1" ht="28" x14ac:dyDescent="0.35">
      <c r="A56" s="37" t="s">
        <v>92</v>
      </c>
      <c r="B56" s="83">
        <f>SUM(C56:F56)</f>
        <v>228383.19000000003</v>
      </c>
      <c r="C56" s="83">
        <f>C55*0.07</f>
        <v>30843.190000000002</v>
      </c>
      <c r="D56" s="83">
        <f>D55*0.07</f>
        <v>80430.000000000015</v>
      </c>
      <c r="E56" s="83">
        <f>E55*0.07</f>
        <v>58310.000000000007</v>
      </c>
      <c r="F56" s="83">
        <f>F55*0.07</f>
        <v>58800.000000000007</v>
      </c>
      <c r="G56" s="56"/>
      <c r="H56" s="83">
        <f>H55*0.07</f>
        <v>18131.557836176726</v>
      </c>
      <c r="I56" s="195">
        <f>I55*0.07</f>
        <v>50623.613600000012</v>
      </c>
      <c r="J56" s="163">
        <v>38451.42</v>
      </c>
      <c r="K56" s="173">
        <v>23723.87</v>
      </c>
      <c r="L56" s="65">
        <f>H56+I56+J56+K56</f>
        <v>130930.46143617673</v>
      </c>
      <c r="M56" s="38" t="s">
        <v>91</v>
      </c>
    </row>
    <row r="57" spans="1:16" s="20" customFormat="1" ht="42.5" thickBot="1" x14ac:dyDescent="0.4">
      <c r="A57" s="40" t="s">
        <v>93</v>
      </c>
      <c r="B57" s="84">
        <f>SUM(C57:F57)</f>
        <v>3491000.19</v>
      </c>
      <c r="C57" s="84">
        <f>C55+C56</f>
        <v>471460.19</v>
      </c>
      <c r="D57" s="84">
        <f>D55+D56</f>
        <v>1229430</v>
      </c>
      <c r="E57" s="84">
        <f>E55+E56</f>
        <v>891310</v>
      </c>
      <c r="F57" s="84">
        <f>F55+F56</f>
        <v>898800</v>
      </c>
      <c r="G57" s="57"/>
      <c r="H57" s="164">
        <f>H55+H56</f>
        <v>277153.81263870135</v>
      </c>
      <c r="I57" s="196">
        <f>I55+I56</f>
        <v>773818.09360000014</v>
      </c>
      <c r="J57" s="84">
        <f>J55+J56</f>
        <v>561991.04</v>
      </c>
      <c r="K57" s="84">
        <f>K55+K56</f>
        <v>388706.53</v>
      </c>
      <c r="L57" s="85">
        <f>L55+L56</f>
        <v>2001669.476238701</v>
      </c>
      <c r="M57" s="174"/>
    </row>
    <row r="58" spans="1:16" x14ac:dyDescent="0.35">
      <c r="L58" s="137"/>
    </row>
    <row r="59" spans="1:16" x14ac:dyDescent="0.35">
      <c r="L59" s="41"/>
    </row>
    <row r="60" spans="1:16" x14ac:dyDescent="0.35">
      <c r="L60" s="42"/>
    </row>
  </sheetData>
  <mergeCells count="12">
    <mergeCell ref="A8:M8"/>
    <mergeCell ref="A29:M29"/>
    <mergeCell ref="A9:M9"/>
    <mergeCell ref="A22:M22"/>
    <mergeCell ref="A30:M30"/>
    <mergeCell ref="A36:M36"/>
    <mergeCell ref="A15:M15"/>
    <mergeCell ref="A43:M43"/>
    <mergeCell ref="A44:M44"/>
    <mergeCell ref="A54:B54"/>
    <mergeCell ref="A46:M46"/>
    <mergeCell ref="A48:M48"/>
  </mergeCells>
  <phoneticPr fontId="2" type="noConversion"/>
  <pageMargins left="0.7" right="0.7" top="0.75" bottom="0.75" header="0.3" footer="0.3"/>
  <pageSetup paperSize="9" scale="14" fitToHeight="10" orientation="landscape" r:id="rId1"/>
  <rowBreaks count="1" manualBreakCount="1">
    <brk id="55"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23"/>
  <sheetViews>
    <sheetView tabSelected="1" topLeftCell="A2" zoomScale="90" zoomScaleNormal="90" workbookViewId="0">
      <selection activeCell="I9" sqref="I9"/>
    </sheetView>
  </sheetViews>
  <sheetFormatPr defaultColWidth="10.7265625" defaultRowHeight="14" x14ac:dyDescent="0.35"/>
  <cols>
    <col min="1" max="1" width="15.453125" style="90" customWidth="1"/>
    <col min="2" max="15" width="9.26953125" style="90" customWidth="1"/>
    <col min="16" max="17" width="11.453125" style="90" customWidth="1"/>
    <col min="18" max="21" width="9.26953125" style="90" customWidth="1"/>
    <col min="22" max="22" width="10.453125" style="90" customWidth="1"/>
    <col min="23" max="23" width="11.453125" style="90" customWidth="1"/>
    <col min="24" max="24" width="10.1796875" style="90" customWidth="1"/>
    <col min="25" max="25" width="11.7265625" style="90" customWidth="1"/>
    <col min="26" max="28" width="9.26953125" style="90" customWidth="1"/>
    <col min="29" max="29" width="14.54296875" style="90" customWidth="1"/>
    <col min="30" max="30" width="10.7265625" style="90"/>
    <col min="31" max="31" width="12" style="90" bestFit="1" customWidth="1"/>
    <col min="32" max="16384" width="10.7265625" style="90"/>
  </cols>
  <sheetData>
    <row r="1" spans="1:31" ht="20.25" hidden="1" customHeight="1" x14ac:dyDescent="0.35">
      <c r="A1" s="43" t="s">
        <v>0</v>
      </c>
      <c r="B1" s="89"/>
      <c r="C1" s="89"/>
      <c r="D1" s="89"/>
      <c r="E1" s="89"/>
      <c r="F1" s="89"/>
      <c r="G1" s="89"/>
      <c r="H1" s="89"/>
      <c r="I1" s="89"/>
    </row>
    <row r="2" spans="1:31" x14ac:dyDescent="0.35">
      <c r="A2" s="91"/>
      <c r="B2" s="91"/>
      <c r="C2" s="91"/>
      <c r="D2" s="91"/>
      <c r="E2" s="91"/>
      <c r="F2" s="91"/>
      <c r="G2" s="91"/>
      <c r="H2" s="91"/>
      <c r="I2" s="91"/>
    </row>
    <row r="3" spans="1:31" ht="14.5" thickBot="1" x14ac:dyDescent="0.4"/>
    <row r="4" spans="1:31" ht="23" x14ac:dyDescent="0.35">
      <c r="A4" s="230" t="s">
        <v>94</v>
      </c>
      <c r="B4" s="232" t="s">
        <v>6</v>
      </c>
      <c r="C4" s="232"/>
      <c r="D4" s="232"/>
      <c r="E4" s="232"/>
      <c r="F4" s="232"/>
      <c r="G4" s="232"/>
      <c r="H4" s="233" t="s">
        <v>7</v>
      </c>
      <c r="I4" s="234"/>
      <c r="J4" s="234"/>
      <c r="K4" s="234"/>
      <c r="L4" s="234"/>
      <c r="M4" s="235"/>
      <c r="N4" s="226" t="s">
        <v>95</v>
      </c>
      <c r="O4" s="226"/>
      <c r="P4" s="236" t="s">
        <v>8</v>
      </c>
      <c r="Q4" s="237"/>
      <c r="R4" s="237"/>
      <c r="S4" s="237"/>
      <c r="T4" s="237"/>
      <c r="U4" s="238"/>
      <c r="V4" s="208" t="s">
        <v>96</v>
      </c>
      <c r="W4" s="208" t="s">
        <v>97</v>
      </c>
      <c r="X4" s="226" t="s">
        <v>98</v>
      </c>
      <c r="Y4" s="228" t="s">
        <v>99</v>
      </c>
      <c r="Z4" s="228"/>
      <c r="AA4" s="228"/>
      <c r="AB4" s="228"/>
      <c r="AC4" s="229"/>
    </row>
    <row r="5" spans="1:31" ht="35" thickBot="1" x14ac:dyDescent="0.4">
      <c r="A5" s="231"/>
      <c r="B5" s="92" t="s">
        <v>100</v>
      </c>
      <c r="C5" s="93" t="s">
        <v>101</v>
      </c>
      <c r="D5" s="92" t="s">
        <v>102</v>
      </c>
      <c r="E5" s="93" t="s">
        <v>103</v>
      </c>
      <c r="F5" s="92" t="s">
        <v>104</v>
      </c>
      <c r="G5" s="93" t="s">
        <v>105</v>
      </c>
      <c r="H5" s="92" t="s">
        <v>106</v>
      </c>
      <c r="I5" s="93" t="s">
        <v>101</v>
      </c>
      <c r="J5" s="92" t="s">
        <v>107</v>
      </c>
      <c r="K5" s="93" t="s">
        <v>103</v>
      </c>
      <c r="L5" s="92" t="s">
        <v>104</v>
      </c>
      <c r="M5" s="93" t="s">
        <v>105</v>
      </c>
      <c r="N5" s="92" t="s">
        <v>108</v>
      </c>
      <c r="O5" s="92" t="s">
        <v>109</v>
      </c>
      <c r="P5" s="92" t="s">
        <v>110</v>
      </c>
      <c r="Q5" s="93" t="s">
        <v>101</v>
      </c>
      <c r="R5" s="92" t="s">
        <v>107</v>
      </c>
      <c r="S5" s="93" t="s">
        <v>103</v>
      </c>
      <c r="T5" s="92" t="s">
        <v>104</v>
      </c>
      <c r="U5" s="93" t="s">
        <v>105</v>
      </c>
      <c r="V5" s="92" t="s">
        <v>108</v>
      </c>
      <c r="W5" s="92" t="s">
        <v>109</v>
      </c>
      <c r="X5" s="227"/>
      <c r="Y5" s="94" t="s">
        <v>6</v>
      </c>
      <c r="Z5" s="95" t="s">
        <v>7</v>
      </c>
      <c r="AA5" s="94" t="s">
        <v>5</v>
      </c>
      <c r="AB5" s="94" t="s">
        <v>8</v>
      </c>
      <c r="AC5" s="96" t="s">
        <v>111</v>
      </c>
    </row>
    <row r="6" spans="1:31" ht="23" x14ac:dyDescent="0.35">
      <c r="A6" s="97" t="s">
        <v>112</v>
      </c>
      <c r="B6" s="98">
        <v>112700</v>
      </c>
      <c r="C6" s="99">
        <v>121800</v>
      </c>
      <c r="D6" s="98">
        <v>48300</v>
      </c>
      <c r="E6" s="99">
        <f>174000-C6</f>
        <v>52200</v>
      </c>
      <c r="F6" s="98">
        <f t="shared" ref="F6:G12" si="0">B6+D6</f>
        <v>161000</v>
      </c>
      <c r="G6" s="99">
        <f>C6+E6</f>
        <v>174000</v>
      </c>
      <c r="H6" s="132">
        <v>60000</v>
      </c>
      <c r="I6" s="149">
        <v>56529</v>
      </c>
      <c r="J6" s="132">
        <v>18000</v>
      </c>
      <c r="K6" s="149">
        <f>18000+3471</f>
        <v>21471</v>
      </c>
      <c r="L6" s="132">
        <f>H6+J6</f>
        <v>78000</v>
      </c>
      <c r="M6" s="148">
        <f>I6+K6</f>
        <v>78000</v>
      </c>
      <c r="N6" s="100">
        <v>58547</v>
      </c>
      <c r="O6" s="100">
        <v>25079</v>
      </c>
      <c r="P6" s="100">
        <v>539000</v>
      </c>
      <c r="Q6" s="99">
        <v>405808.2</v>
      </c>
      <c r="R6" s="100">
        <v>231000</v>
      </c>
      <c r="S6" s="99">
        <v>173917.8</v>
      </c>
      <c r="T6" s="100">
        <f>P6+R6</f>
        <v>770000</v>
      </c>
      <c r="U6" s="119">
        <f>Q6+S6</f>
        <v>579726</v>
      </c>
      <c r="V6" s="100">
        <f>B6+H6+N6+P6</f>
        <v>770247</v>
      </c>
      <c r="W6" s="100">
        <f>D6+J6+O6+R6</f>
        <v>322379</v>
      </c>
      <c r="X6" s="100">
        <f>V6+W6</f>
        <v>1092626</v>
      </c>
      <c r="Y6" s="140">
        <f>'Budget par resultats'!I51</f>
        <v>79480.899999999994</v>
      </c>
      <c r="Z6" s="156">
        <v>-85.46</v>
      </c>
      <c r="AA6" s="175">
        <v>33392.575908749997</v>
      </c>
      <c r="AB6" s="100">
        <v>309184.73</v>
      </c>
      <c r="AC6" s="101">
        <f>Y6+Z6+AA6+AB6</f>
        <v>421972.74590874999</v>
      </c>
    </row>
    <row r="7" spans="1:31" ht="34.5" x14ac:dyDescent="0.35">
      <c r="A7" s="102" t="s">
        <v>113</v>
      </c>
      <c r="B7" s="103">
        <v>21000</v>
      </c>
      <c r="C7" s="104">
        <v>51100</v>
      </c>
      <c r="D7" s="103">
        <v>9000</v>
      </c>
      <c r="E7" s="104">
        <f>73000-C7</f>
        <v>21900</v>
      </c>
      <c r="F7" s="103">
        <f t="shared" si="0"/>
        <v>30000</v>
      </c>
      <c r="G7" s="104">
        <f t="shared" si="0"/>
        <v>73000</v>
      </c>
      <c r="H7" s="108">
        <v>20000</v>
      </c>
      <c r="I7" s="150">
        <v>20000</v>
      </c>
      <c r="J7" s="108">
        <v>15000</v>
      </c>
      <c r="K7" s="150">
        <v>15000</v>
      </c>
      <c r="L7" s="132">
        <f t="shared" ref="L7:M12" si="1">H7+J7</f>
        <v>35000</v>
      </c>
      <c r="M7" s="148">
        <f t="shared" si="1"/>
        <v>35000</v>
      </c>
      <c r="N7" s="105">
        <v>22355</v>
      </c>
      <c r="O7" s="105">
        <v>9581</v>
      </c>
      <c r="P7" s="105">
        <v>7000</v>
      </c>
      <c r="Q7" s="104">
        <v>21000</v>
      </c>
      <c r="R7" s="105">
        <v>3000</v>
      </c>
      <c r="S7" s="104">
        <v>9000</v>
      </c>
      <c r="T7" s="100">
        <f t="shared" ref="T7:T12" si="2">P7+R7</f>
        <v>10000</v>
      </c>
      <c r="U7" s="119">
        <f t="shared" ref="U7:U12" si="3">Q7+S7</f>
        <v>30000</v>
      </c>
      <c r="V7" s="105">
        <f>B7+H7+N7+P7</f>
        <v>70355</v>
      </c>
      <c r="W7" s="105">
        <f>D7+J7+O7+R7</f>
        <v>36581</v>
      </c>
      <c r="X7" s="105">
        <f t="shared" ref="X7:X12" si="4">V7+W7</f>
        <v>106936</v>
      </c>
      <c r="Y7" s="105">
        <v>17827.759999999998</v>
      </c>
      <c r="Z7" s="157">
        <v>15663.66</v>
      </c>
      <c r="AA7" s="175">
        <f>12000+200.26</f>
        <v>12200.26</v>
      </c>
      <c r="AB7" s="105">
        <v>4065.74</v>
      </c>
      <c r="AC7" s="106">
        <f t="shared" ref="AC7:AC13" si="5">Y7+Z7+AA7+AB7</f>
        <v>49757.42</v>
      </c>
      <c r="AD7" s="201"/>
      <c r="AE7" s="131"/>
    </row>
    <row r="8" spans="1:31" ht="68.25" customHeight="1" x14ac:dyDescent="0.35">
      <c r="A8" s="102" t="s">
        <v>114</v>
      </c>
      <c r="B8" s="103">
        <v>24500</v>
      </c>
      <c r="C8" s="104">
        <v>24500</v>
      </c>
      <c r="D8" s="103">
        <v>10500</v>
      </c>
      <c r="E8" s="104">
        <f>35000-C8</f>
        <v>10500</v>
      </c>
      <c r="F8" s="103">
        <f t="shared" si="0"/>
        <v>35000</v>
      </c>
      <c r="G8" s="107">
        <f t="shared" si="0"/>
        <v>35000</v>
      </c>
      <c r="H8" s="108">
        <v>20000</v>
      </c>
      <c r="I8" s="150">
        <v>20000</v>
      </c>
      <c r="J8" s="108">
        <v>12500</v>
      </c>
      <c r="K8" s="150">
        <v>15000</v>
      </c>
      <c r="L8" s="132">
        <f t="shared" si="1"/>
        <v>32500</v>
      </c>
      <c r="M8" s="148">
        <f t="shared" si="1"/>
        <v>35000</v>
      </c>
      <c r="N8" s="105">
        <v>22708</v>
      </c>
      <c r="O8" s="105">
        <v>9732</v>
      </c>
      <c r="P8" s="105">
        <v>28000</v>
      </c>
      <c r="Q8" s="104">
        <v>73500</v>
      </c>
      <c r="R8" s="105">
        <v>12000</v>
      </c>
      <c r="S8" s="104">
        <v>31500</v>
      </c>
      <c r="T8" s="100">
        <f t="shared" si="2"/>
        <v>40000</v>
      </c>
      <c r="U8" s="119">
        <f t="shared" si="3"/>
        <v>105000</v>
      </c>
      <c r="V8" s="105">
        <f>B8+H8+N8+P8</f>
        <v>95208</v>
      </c>
      <c r="W8" s="105">
        <f>D8+J8+O8+R8</f>
        <v>44732</v>
      </c>
      <c r="X8" s="105">
        <f t="shared" si="4"/>
        <v>139940</v>
      </c>
      <c r="Y8" s="105">
        <v>3333.43</v>
      </c>
      <c r="Z8" s="157">
        <v>-61653.57</v>
      </c>
      <c r="AA8" s="205">
        <v>13730.59</v>
      </c>
      <c r="AB8" s="105">
        <v>36461.040000000001</v>
      </c>
      <c r="AC8" s="106">
        <f t="shared" si="5"/>
        <v>-8128.510000000002</v>
      </c>
      <c r="AD8" s="201"/>
      <c r="AE8" s="131"/>
    </row>
    <row r="9" spans="1:31" ht="23" x14ac:dyDescent="0.35">
      <c r="A9" s="102" t="s">
        <v>115</v>
      </c>
      <c r="B9" s="103">
        <v>17500</v>
      </c>
      <c r="C9" s="104">
        <f>49000-19500</f>
        <v>29500</v>
      </c>
      <c r="D9" s="103">
        <v>7500</v>
      </c>
      <c r="E9" s="104">
        <f>70000-C9</f>
        <v>40500</v>
      </c>
      <c r="F9" s="103">
        <f t="shared" si="0"/>
        <v>25000</v>
      </c>
      <c r="G9" s="104">
        <f t="shared" si="0"/>
        <v>70000</v>
      </c>
      <c r="H9" s="108">
        <v>37000</v>
      </c>
      <c r="I9" s="150">
        <f>157000-6986</f>
        <v>150014</v>
      </c>
      <c r="J9" s="108">
        <v>21310</v>
      </c>
      <c r="K9" s="150">
        <v>44939</v>
      </c>
      <c r="L9" s="132">
        <f t="shared" si="1"/>
        <v>58310</v>
      </c>
      <c r="M9" s="148">
        <f t="shared" si="1"/>
        <v>194953</v>
      </c>
      <c r="N9" s="105">
        <v>66500</v>
      </c>
      <c r="O9" s="105">
        <v>28500</v>
      </c>
      <c r="P9" s="105">
        <v>0</v>
      </c>
      <c r="Q9" s="104">
        <v>0</v>
      </c>
      <c r="R9" s="105">
        <v>0</v>
      </c>
      <c r="S9" s="104">
        <v>0</v>
      </c>
      <c r="T9" s="100">
        <f t="shared" si="2"/>
        <v>0</v>
      </c>
      <c r="U9" s="119">
        <f t="shared" si="3"/>
        <v>0</v>
      </c>
      <c r="V9" s="105">
        <f>B9+H9+N9+P9</f>
        <v>121000</v>
      </c>
      <c r="W9" s="105">
        <f>D9+J9+O9+R9</f>
        <v>57310</v>
      </c>
      <c r="X9" s="105">
        <f t="shared" si="4"/>
        <v>178310</v>
      </c>
      <c r="Y9" s="105">
        <v>7031</v>
      </c>
      <c r="Z9" s="157">
        <v>260537.48</v>
      </c>
      <c r="AA9" s="175">
        <f>21989.93+42000</f>
        <v>63989.93</v>
      </c>
      <c r="AB9" s="105">
        <v>0</v>
      </c>
      <c r="AC9" s="106">
        <f t="shared" si="5"/>
        <v>331558.40999999997</v>
      </c>
      <c r="AD9" s="201"/>
      <c r="AE9" s="131"/>
    </row>
    <row r="10" spans="1:31" ht="23" x14ac:dyDescent="0.35">
      <c r="A10" s="102" t="s">
        <v>116</v>
      </c>
      <c r="B10" s="103">
        <v>98350</v>
      </c>
      <c r="C10" s="104">
        <f>74550+9750</f>
        <v>84300</v>
      </c>
      <c r="D10" s="103">
        <v>44250</v>
      </c>
      <c r="E10" s="104">
        <f>106500-C10</f>
        <v>22200</v>
      </c>
      <c r="F10" s="103">
        <f t="shared" si="0"/>
        <v>142600</v>
      </c>
      <c r="G10" s="104">
        <f t="shared" si="0"/>
        <v>106500</v>
      </c>
      <c r="H10" s="108">
        <v>50000</v>
      </c>
      <c r="I10" s="150">
        <v>50000</v>
      </c>
      <c r="J10" s="108">
        <v>20000</v>
      </c>
      <c r="K10" s="150">
        <v>20000</v>
      </c>
      <c r="L10" s="132">
        <f t="shared" si="1"/>
        <v>70000</v>
      </c>
      <c r="M10" s="148">
        <f t="shared" si="1"/>
        <v>70000</v>
      </c>
      <c r="N10" s="105">
        <v>46200</v>
      </c>
      <c r="O10" s="105">
        <v>19800</v>
      </c>
      <c r="P10" s="105">
        <v>14000</v>
      </c>
      <c r="Q10" s="104">
        <v>42000</v>
      </c>
      <c r="R10" s="105">
        <v>6000</v>
      </c>
      <c r="S10" s="104">
        <v>18000</v>
      </c>
      <c r="T10" s="100">
        <f t="shared" si="2"/>
        <v>20000</v>
      </c>
      <c r="U10" s="119">
        <f t="shared" si="3"/>
        <v>60000</v>
      </c>
      <c r="V10" s="105">
        <f>B10+H10+N10+P10</f>
        <v>208550</v>
      </c>
      <c r="W10" s="105">
        <f>D10+J10+O10+R10</f>
        <v>90050</v>
      </c>
      <c r="X10" s="105">
        <f>V10+W10</f>
        <v>298600</v>
      </c>
      <c r="Y10" s="105">
        <v>23111.88</v>
      </c>
      <c r="Z10" s="157">
        <v>108012.03</v>
      </c>
      <c r="AA10" s="175">
        <f>16936.36+27440</f>
        <v>44376.36</v>
      </c>
      <c r="AB10" s="105">
        <v>0</v>
      </c>
      <c r="AC10" s="106">
        <f t="shared" si="5"/>
        <v>175500.27000000002</v>
      </c>
      <c r="AD10" s="201"/>
      <c r="AE10" s="203"/>
    </row>
    <row r="11" spans="1:31" ht="34.5" x14ac:dyDescent="0.35">
      <c r="A11" s="102" t="s">
        <v>117</v>
      </c>
      <c r="B11" s="103">
        <v>462350</v>
      </c>
      <c r="C11" s="104">
        <f>448350+9750</f>
        <v>458100</v>
      </c>
      <c r="D11" s="103">
        <v>203050</v>
      </c>
      <c r="E11" s="104">
        <f>640500-C11</f>
        <v>182400</v>
      </c>
      <c r="F11" s="103">
        <f t="shared" si="0"/>
        <v>665400</v>
      </c>
      <c r="G11" s="104">
        <f t="shared" si="0"/>
        <v>640500</v>
      </c>
      <c r="H11" s="108">
        <v>400000</v>
      </c>
      <c r="I11" s="150">
        <v>260000</v>
      </c>
      <c r="J11" s="108">
        <v>120000</v>
      </c>
      <c r="K11" s="150">
        <v>90400</v>
      </c>
      <c r="L11" s="132">
        <f t="shared" si="1"/>
        <v>520000</v>
      </c>
      <c r="M11" s="148">
        <f t="shared" si="1"/>
        <v>350400</v>
      </c>
      <c r="N11" s="105">
        <v>50400</v>
      </c>
      <c r="O11" s="105">
        <v>21600</v>
      </c>
      <c r="P11" s="105">
        <v>0</v>
      </c>
      <c r="Q11" s="104">
        <v>0</v>
      </c>
      <c r="R11" s="105">
        <v>0</v>
      </c>
      <c r="S11" s="104">
        <v>0</v>
      </c>
      <c r="T11" s="100">
        <f t="shared" si="2"/>
        <v>0</v>
      </c>
      <c r="U11" s="119">
        <f>Q11+S11</f>
        <v>0</v>
      </c>
      <c r="V11" s="105">
        <f>B11+H11+N11</f>
        <v>912750</v>
      </c>
      <c r="W11" s="105">
        <f>D11+J11+O11</f>
        <v>344650</v>
      </c>
      <c r="X11" s="105">
        <f t="shared" si="4"/>
        <v>1257400</v>
      </c>
      <c r="Y11" s="202">
        <v>547463.71</v>
      </c>
      <c r="Z11" s="157">
        <v>44019.72</v>
      </c>
      <c r="AA11" s="205">
        <f>119839.97-69440</f>
        <v>50399.97</v>
      </c>
      <c r="AB11" s="105">
        <v>0</v>
      </c>
      <c r="AC11" s="106">
        <f t="shared" si="5"/>
        <v>641883.39999999991</v>
      </c>
    </row>
    <row r="12" spans="1:31" ht="35" thickBot="1" x14ac:dyDescent="0.4">
      <c r="A12" s="109" t="s">
        <v>118</v>
      </c>
      <c r="B12" s="110">
        <v>63000</v>
      </c>
      <c r="C12" s="111">
        <f>35000-4900</f>
        <v>30100</v>
      </c>
      <c r="D12" s="110">
        <v>27000</v>
      </c>
      <c r="E12" s="111">
        <f>50000-C12</f>
        <v>19900</v>
      </c>
      <c r="F12" s="110">
        <f t="shared" si="0"/>
        <v>90000</v>
      </c>
      <c r="G12" s="111">
        <f t="shared" si="0"/>
        <v>50000</v>
      </c>
      <c r="H12" s="133">
        <v>20000</v>
      </c>
      <c r="I12" s="151">
        <v>50457</v>
      </c>
      <c r="J12" s="133">
        <v>19190</v>
      </c>
      <c r="K12" s="151">
        <v>19190</v>
      </c>
      <c r="L12" s="132">
        <f t="shared" si="1"/>
        <v>39190</v>
      </c>
      <c r="M12" s="148">
        <f t="shared" si="1"/>
        <v>69647</v>
      </c>
      <c r="N12" s="112">
        <v>41730</v>
      </c>
      <c r="O12" s="112">
        <v>17885</v>
      </c>
      <c r="P12" s="112">
        <v>0</v>
      </c>
      <c r="Q12" s="111">
        <v>45691.8</v>
      </c>
      <c r="R12" s="112">
        <v>0</v>
      </c>
      <c r="S12" s="111">
        <v>19582.2</v>
      </c>
      <c r="T12" s="100">
        <f t="shared" si="2"/>
        <v>0</v>
      </c>
      <c r="U12" s="119">
        <f t="shared" si="3"/>
        <v>65274</v>
      </c>
      <c r="V12" s="112">
        <f>B12+H12+N12</f>
        <v>124730</v>
      </c>
      <c r="W12" s="112">
        <f>D12+J12+O12</f>
        <v>64075</v>
      </c>
      <c r="X12" s="112">
        <f t="shared" si="4"/>
        <v>188805</v>
      </c>
      <c r="Y12" s="141">
        <v>44945.8</v>
      </c>
      <c r="Z12" s="158">
        <v>157045.76999999999</v>
      </c>
      <c r="AA12" s="175">
        <f>52932.92-12000</f>
        <v>40932.92</v>
      </c>
      <c r="AB12" s="112">
        <v>15271.15</v>
      </c>
      <c r="AC12" s="113">
        <f t="shared" si="5"/>
        <v>258195.63999999998</v>
      </c>
    </row>
    <row r="13" spans="1:31" ht="14.5" thickBot="1" x14ac:dyDescent="0.4">
      <c r="A13" s="114" t="s">
        <v>119</v>
      </c>
      <c r="B13" s="115">
        <f t="shared" ref="B13:G13" si="6">SUM(B6:B12)</f>
        <v>799400</v>
      </c>
      <c r="C13" s="116">
        <f t="shared" si="6"/>
        <v>799400</v>
      </c>
      <c r="D13" s="115">
        <f t="shared" si="6"/>
        <v>349600</v>
      </c>
      <c r="E13" s="116">
        <f t="shared" si="6"/>
        <v>349600</v>
      </c>
      <c r="F13" s="115">
        <f t="shared" si="6"/>
        <v>1149000</v>
      </c>
      <c r="G13" s="116">
        <f t="shared" si="6"/>
        <v>1149000</v>
      </c>
      <c r="H13" s="117">
        <f>SUM(H6:H12)</f>
        <v>607000</v>
      </c>
      <c r="I13" s="152">
        <f>SUM(I6:I12)</f>
        <v>607000</v>
      </c>
      <c r="J13" s="117">
        <f t="shared" ref="J13:W13" si="7">SUM(J6:J12)</f>
        <v>226000</v>
      </c>
      <c r="K13" s="152">
        <f t="shared" ref="K13:M13" si="8">SUM(K6:K12)</f>
        <v>226000</v>
      </c>
      <c r="L13" s="154">
        <f t="shared" si="8"/>
        <v>833000</v>
      </c>
      <c r="M13" s="152">
        <f t="shared" si="8"/>
        <v>833000</v>
      </c>
      <c r="N13" s="117">
        <f t="shared" si="7"/>
        <v>308440</v>
      </c>
      <c r="O13" s="117">
        <f t="shared" si="7"/>
        <v>132177</v>
      </c>
      <c r="P13" s="117">
        <f t="shared" si="7"/>
        <v>588000</v>
      </c>
      <c r="Q13" s="152">
        <f t="shared" ref="Q13:U13" si="9">SUM(Q6:Q12)</f>
        <v>588000</v>
      </c>
      <c r="R13" s="117">
        <f t="shared" si="7"/>
        <v>252000</v>
      </c>
      <c r="S13" s="152">
        <f t="shared" si="9"/>
        <v>252000</v>
      </c>
      <c r="T13" s="117">
        <f t="shared" si="7"/>
        <v>840000</v>
      </c>
      <c r="U13" s="152">
        <f t="shared" si="9"/>
        <v>840000</v>
      </c>
      <c r="V13" s="117">
        <f t="shared" si="7"/>
        <v>2302840</v>
      </c>
      <c r="W13" s="117">
        <f t="shared" si="7"/>
        <v>959777</v>
      </c>
      <c r="X13" s="117">
        <f>SUM(X6:X12)</f>
        <v>3262617</v>
      </c>
      <c r="Y13" s="144">
        <f>SUM(Y6:Y12)</f>
        <v>723194.48</v>
      </c>
      <c r="Z13" s="159">
        <f t="shared" ref="Z13" si="10">SUM(Z6:Z12)</f>
        <v>523539.63</v>
      </c>
      <c r="AA13" s="165">
        <f>SUM(AA6:AA12)</f>
        <v>259022.60590875003</v>
      </c>
      <c r="AB13" s="144">
        <f>SUM(AB6:AB12)</f>
        <v>364982.66</v>
      </c>
      <c r="AC13" s="118">
        <f t="shared" si="5"/>
        <v>1870739.3759087499</v>
      </c>
    </row>
    <row r="14" spans="1:31" x14ac:dyDescent="0.35">
      <c r="A14" s="97" t="s">
        <v>120</v>
      </c>
      <c r="B14" s="100">
        <f>B13*7%</f>
        <v>55958.000000000007</v>
      </c>
      <c r="C14" s="119">
        <f>C13*0.07</f>
        <v>55958.000000000007</v>
      </c>
      <c r="D14" s="98">
        <f>D13*0.07</f>
        <v>24472.000000000004</v>
      </c>
      <c r="E14" s="119">
        <f>E13*0.07</f>
        <v>24472.000000000004</v>
      </c>
      <c r="F14" s="100">
        <f>F13*0.07</f>
        <v>80430.000000000015</v>
      </c>
      <c r="G14" s="119">
        <f>G13*0.07</f>
        <v>80430.000000000015</v>
      </c>
      <c r="H14" s="132">
        <f t="shared" ref="H14:X14" si="11">SUM(H13*0.07)</f>
        <v>42490.000000000007</v>
      </c>
      <c r="I14" s="148">
        <f t="shared" si="11"/>
        <v>42490.000000000007</v>
      </c>
      <c r="J14" s="132">
        <f t="shared" si="11"/>
        <v>15820.000000000002</v>
      </c>
      <c r="K14" s="148">
        <f t="shared" ref="K14:M14" si="12">SUM(K13*0.07)</f>
        <v>15820.000000000002</v>
      </c>
      <c r="L14" s="132">
        <f t="shared" si="12"/>
        <v>58310.000000000007</v>
      </c>
      <c r="M14" s="148">
        <f t="shared" si="12"/>
        <v>58310.000000000007</v>
      </c>
      <c r="N14" s="132">
        <f t="shared" si="11"/>
        <v>21590.800000000003</v>
      </c>
      <c r="O14" s="132">
        <f t="shared" si="11"/>
        <v>9252.3900000000012</v>
      </c>
      <c r="P14" s="132">
        <f t="shared" si="11"/>
        <v>41160.000000000007</v>
      </c>
      <c r="Q14" s="148">
        <f t="shared" ref="Q14:U14" si="13">SUM(Q13*0.07)</f>
        <v>41160.000000000007</v>
      </c>
      <c r="R14" s="132">
        <f t="shared" si="11"/>
        <v>17640</v>
      </c>
      <c r="S14" s="148">
        <f t="shared" si="13"/>
        <v>17640</v>
      </c>
      <c r="T14" s="132">
        <f t="shared" si="11"/>
        <v>58800.000000000007</v>
      </c>
      <c r="U14" s="148">
        <f t="shared" si="13"/>
        <v>58800.000000000007</v>
      </c>
      <c r="V14" s="132">
        <f t="shared" si="11"/>
        <v>161198.80000000002</v>
      </c>
      <c r="W14" s="132">
        <f t="shared" si="11"/>
        <v>67184.39</v>
      </c>
      <c r="X14" s="132">
        <f t="shared" si="11"/>
        <v>228383.19000000003</v>
      </c>
      <c r="Y14" s="145">
        <f>Y13*0.07</f>
        <v>50623.613600000004</v>
      </c>
      <c r="Z14" s="132">
        <v>38451.42</v>
      </c>
      <c r="AA14" s="166">
        <v>18131.557836176726</v>
      </c>
      <c r="AB14" s="132">
        <v>23723.87</v>
      </c>
      <c r="AC14" s="134">
        <f>Y14+Z14+AA14+AB14</f>
        <v>130930.46143617672</v>
      </c>
    </row>
    <row r="15" spans="1:31" ht="14.5" thickBot="1" x14ac:dyDescent="0.4">
      <c r="A15" s="120" t="s">
        <v>111</v>
      </c>
      <c r="B15" s="121">
        <f t="shared" ref="B15:G15" si="14">B13+B14</f>
        <v>855358</v>
      </c>
      <c r="C15" s="122">
        <f t="shared" si="14"/>
        <v>855358</v>
      </c>
      <c r="D15" s="123">
        <f t="shared" si="14"/>
        <v>374072</v>
      </c>
      <c r="E15" s="122">
        <f t="shared" si="14"/>
        <v>374072</v>
      </c>
      <c r="F15" s="121">
        <f t="shared" si="14"/>
        <v>1229430</v>
      </c>
      <c r="G15" s="122">
        <f t="shared" si="14"/>
        <v>1229430</v>
      </c>
      <c r="H15" s="124">
        <f t="shared" ref="H15:W15" si="15">SUM(H13:H14)</f>
        <v>649490</v>
      </c>
      <c r="I15" s="153">
        <f t="shared" si="15"/>
        <v>649490</v>
      </c>
      <c r="J15" s="124">
        <f t="shared" si="15"/>
        <v>241820</v>
      </c>
      <c r="K15" s="153">
        <f t="shared" ref="K15:M15" si="16">SUM(K13:K14)</f>
        <v>241820</v>
      </c>
      <c r="L15" s="155">
        <f t="shared" si="16"/>
        <v>891310</v>
      </c>
      <c r="M15" s="153">
        <f t="shared" si="16"/>
        <v>891310</v>
      </c>
      <c r="N15" s="124">
        <f t="shared" si="15"/>
        <v>330030.8</v>
      </c>
      <c r="O15" s="124">
        <f t="shared" si="15"/>
        <v>141429.39000000001</v>
      </c>
      <c r="P15" s="124">
        <f t="shared" si="15"/>
        <v>629160</v>
      </c>
      <c r="Q15" s="153">
        <f t="shared" ref="Q15:U15" si="17">SUM(Q13:Q14)</f>
        <v>629160</v>
      </c>
      <c r="R15" s="124">
        <f t="shared" si="15"/>
        <v>269640</v>
      </c>
      <c r="S15" s="153">
        <f t="shared" si="17"/>
        <v>269640</v>
      </c>
      <c r="T15" s="124">
        <f t="shared" si="15"/>
        <v>898800</v>
      </c>
      <c r="U15" s="153">
        <f t="shared" si="17"/>
        <v>898800</v>
      </c>
      <c r="V15" s="124">
        <f t="shared" si="15"/>
        <v>2464038.7999999998</v>
      </c>
      <c r="W15" s="124">
        <f t="shared" si="15"/>
        <v>1026961.39</v>
      </c>
      <c r="X15" s="124">
        <f>SUM(X13:X14)</f>
        <v>3491000.19</v>
      </c>
      <c r="Y15" s="146">
        <f>Y13+Y14</f>
        <v>773818.09360000002</v>
      </c>
      <c r="Z15" s="160">
        <f>Z13+Z14</f>
        <v>561991.05000000005</v>
      </c>
      <c r="AA15" s="204">
        <f>AA13+AA14</f>
        <v>277154.16374492674</v>
      </c>
      <c r="AB15" s="124">
        <f>AB13+AB14</f>
        <v>388706.52999999997</v>
      </c>
      <c r="AC15" s="125">
        <f>AC13+AC14</f>
        <v>2001669.8373449265</v>
      </c>
    </row>
    <row r="16" spans="1:31" x14ac:dyDescent="0.35">
      <c r="B16" s="126"/>
      <c r="C16" s="126"/>
      <c r="Y16" s="126"/>
      <c r="AC16" s="206"/>
    </row>
    <row r="17" spans="2:30" x14ac:dyDescent="0.35">
      <c r="B17" s="127"/>
      <c r="C17" s="127"/>
      <c r="H17" s="127"/>
      <c r="I17" s="127"/>
      <c r="N17" s="127"/>
      <c r="P17" s="127"/>
      <c r="Q17" s="127"/>
      <c r="X17" s="168"/>
      <c r="Y17" s="142"/>
      <c r="Z17" s="130"/>
      <c r="AA17" s="129"/>
      <c r="AB17" s="129"/>
      <c r="AC17" s="131"/>
    </row>
    <row r="18" spans="2:30" x14ac:dyDescent="0.35">
      <c r="B18" s="127"/>
      <c r="C18" s="127"/>
      <c r="H18" s="127"/>
      <c r="I18" s="127"/>
      <c r="N18" s="127"/>
      <c r="P18" s="127"/>
      <c r="Q18" s="127"/>
      <c r="W18" s="147"/>
      <c r="X18" s="168"/>
      <c r="Y18" s="143"/>
      <c r="Z18" s="127"/>
      <c r="AA18" s="127"/>
      <c r="AB18" s="130"/>
      <c r="AC18" s="129"/>
      <c r="AD18" s="131"/>
    </row>
    <row r="19" spans="2:30" x14ac:dyDescent="0.35">
      <c r="V19" s="147"/>
      <c r="X19" s="128"/>
      <c r="Y19" s="143"/>
      <c r="Z19" s="130"/>
      <c r="AA19" s="130"/>
      <c r="AB19" s="130"/>
    </row>
    <row r="20" spans="2:30" x14ac:dyDescent="0.35">
      <c r="V20" s="147"/>
      <c r="W20" s="147"/>
      <c r="Y20" s="131"/>
    </row>
    <row r="21" spans="2:30" x14ac:dyDescent="0.35">
      <c r="P21" s="147"/>
      <c r="Q21" s="147"/>
      <c r="Y21" s="147"/>
    </row>
    <row r="22" spans="2:30" x14ac:dyDescent="0.35">
      <c r="P22" s="147"/>
      <c r="Q22" s="147"/>
      <c r="V22" s="147"/>
      <c r="X22" s="147"/>
      <c r="Y22" s="147"/>
    </row>
    <row r="23" spans="2:30" x14ac:dyDescent="0.35">
      <c r="Y23" s="147"/>
    </row>
  </sheetData>
  <mergeCells count="7">
    <mergeCell ref="X4:X5"/>
    <mergeCell ref="Y4:AC4"/>
    <mergeCell ref="A4:A5"/>
    <mergeCell ref="B4:G4"/>
    <mergeCell ref="N4:O4"/>
    <mergeCell ref="H4:M4"/>
    <mergeCell ref="P4:U4"/>
  </mergeCells>
  <pageMargins left="0.7" right="0.7" top="0.75" bottom="0.75" header="0.3" footer="0.3"/>
  <pageSetup scale="92" fitToHeight="1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CF4C60E667ED4FBCEB67DA7CE78342" ma:contentTypeVersion="6" ma:contentTypeDescription="Create a new document." ma:contentTypeScope="" ma:versionID="fde9951bb5795a680c73ff076ddf4317">
  <xsd:schema xmlns:xsd="http://www.w3.org/2001/XMLSchema" xmlns:xs="http://www.w3.org/2001/XMLSchema" xmlns:p="http://schemas.microsoft.com/office/2006/metadata/properties" xmlns:ns2="9b2b19fd-febb-48ea-9440-aa61f09133ca" xmlns:ns3="84703ff6-12c1-418b-930a-772215aafc43" targetNamespace="http://schemas.microsoft.com/office/2006/metadata/properties" ma:root="true" ma:fieldsID="8b468610c3c27409741eff807835efcb" ns2:_="" ns3:_="">
    <xsd:import namespace="9b2b19fd-febb-48ea-9440-aa61f09133ca"/>
    <xsd:import namespace="84703ff6-12c1-418b-930a-772215aafc4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b19fd-febb-48ea-9440-aa61f09133c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703ff6-12c1-418b-930a-772215aafc4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9b2b19fd-febb-48ea-9440-aa61f09133ca">F5Z4AVR7E4ZZ-1788417235-1496</_dlc_DocId>
    <_dlc_DocIdUrl xmlns="9b2b19fd-febb-48ea-9440-aa61f09133ca">
      <Url>https://unicef.sharepoint.com/teams/TCD-Partnership/_layouts/15/DocIdRedir.aspx?ID=F5Z4AVR7E4ZZ-1788417235-1496</Url>
      <Description>F5Z4AVR7E4ZZ-1788417235-1496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80D6C45-6DE1-4FA9-AF0E-A77F1A664F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b19fd-febb-48ea-9440-aa61f09133ca"/>
    <ds:schemaRef ds:uri="84703ff6-12c1-418b-930a-772215aafc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227B19-B5B1-4E44-A089-7C0FF323108D}">
  <ds:schemaRefs>
    <ds:schemaRef ds:uri="http://schemas.microsoft.com/office/2006/metadata/properties"/>
    <ds:schemaRef ds:uri="http://schemas.microsoft.com/office/infopath/2007/PartnerControls"/>
    <ds:schemaRef ds:uri="9b2b19fd-febb-48ea-9440-aa61f09133ca"/>
  </ds:schemaRefs>
</ds:datastoreItem>
</file>

<file path=customXml/itemProps3.xml><?xml version="1.0" encoding="utf-8"?>
<ds:datastoreItem xmlns:ds="http://schemas.openxmlformats.org/officeDocument/2006/customXml" ds:itemID="{39F94A35-23ED-4BED-BD1D-F2E3698C059D}">
  <ds:schemaRefs>
    <ds:schemaRef ds:uri="http://schemas.microsoft.com/sharepoint/v3/contenttype/forms"/>
  </ds:schemaRefs>
</ds:datastoreItem>
</file>

<file path=customXml/itemProps4.xml><?xml version="1.0" encoding="utf-8"?>
<ds:datastoreItem xmlns:ds="http://schemas.openxmlformats.org/officeDocument/2006/customXml" ds:itemID="{95CC75B3-739B-4CB9-B77E-D658A1481C2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par resultats</vt:lpstr>
      <vt:lpstr>Budget par categorie</vt:lpstr>
      <vt:lpstr>'Budget par resultats'!Print_Area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UWIMBABAZI Appoline</cp:lastModifiedBy>
  <cp:revision/>
  <dcterms:created xsi:type="dcterms:W3CDTF">2017-11-15T21:17:43Z</dcterms:created>
  <dcterms:modified xsi:type="dcterms:W3CDTF">2021-06-21T14:07:22Z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0x01010008CF4C60E667ED4FBCEB67DA7CE78342</vt:lpwstr>
  </property>
  <property fmtid="{D5CDD505-2E9C-101B-9397-08002B2CF9AE}" pid="3" name="_dlc_DocIdItemGuid">
    <vt:lpwstr>8763e48d-62b7-4a63-a7a1-e44a00c7a024</vt:lpwstr>
  </property>
</Properties>
</file>