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ELL\Documents\@ PBF BF\Pour Gateway\BFA_B4\"/>
    </mc:Choice>
  </mc:AlternateContent>
  <xr:revisionPtr revIDLastSave="0" documentId="8_{79C94A6E-2E53-4F80-9451-EC0A0B71DD07}" xr6:coauthVersionLast="47" xr6:coauthVersionMax="47" xr10:uidLastSave="{00000000-0000-0000-0000-000000000000}"/>
  <bookViews>
    <workbookView xWindow="-108" yWindow="-108" windowWidth="23256" windowHeight="12456"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1'!$B$14:$K$131</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3" i="1" l="1"/>
  <c r="E323" i="1"/>
  <c r="G321" i="1"/>
  <c r="G317" i="1"/>
  <c r="G458" i="1"/>
  <c r="G136" i="1" l="1"/>
  <c r="D76" i="1"/>
  <c r="E461" i="1" l="1"/>
  <c r="G77" i="1"/>
  <c r="G76" i="1"/>
  <c r="G75" i="1"/>
  <c r="G74" i="1"/>
  <c r="G73" i="1"/>
  <c r="G72" i="1"/>
  <c r="G71" i="1"/>
  <c r="G70" i="1"/>
  <c r="G69" i="1"/>
  <c r="G450" i="1"/>
  <c r="G451" i="1"/>
  <c r="G452" i="1"/>
  <c r="G453" i="1"/>
  <c r="G454" i="1"/>
  <c r="G139" i="1"/>
  <c r="D449" i="1" l="1"/>
  <c r="D25" i="8" s="1"/>
  <c r="E25" i="8"/>
  <c r="E26" i="8"/>
  <c r="G316" i="1"/>
  <c r="G310" i="1"/>
  <c r="E273" i="1"/>
  <c r="G242" i="1"/>
  <c r="E231" i="1"/>
  <c r="G102" i="1"/>
  <c r="G97" i="1"/>
  <c r="G91" i="1"/>
  <c r="G92" i="1"/>
  <c r="G86" i="1"/>
  <c r="E37" i="1"/>
  <c r="D37" i="1"/>
  <c r="D67" i="1"/>
  <c r="G87" i="1"/>
  <c r="G88" i="1"/>
  <c r="G89" i="1"/>
  <c r="G90" i="1"/>
  <c r="G96" i="1"/>
  <c r="G98" i="1"/>
  <c r="G99" i="1"/>
  <c r="G100" i="1"/>
  <c r="G101" i="1"/>
  <c r="G103" i="1"/>
  <c r="G104" i="1"/>
  <c r="G85" i="1"/>
  <c r="D131" i="1"/>
  <c r="D273" i="1"/>
  <c r="D304" i="1"/>
  <c r="D456" i="1"/>
  <c r="D437" i="1"/>
  <c r="G319" i="1"/>
  <c r="G320" i="1"/>
  <c r="G315" i="1"/>
  <c r="G314" i="1"/>
  <c r="G311" i="1"/>
  <c r="G307" i="1"/>
  <c r="G308" i="1"/>
  <c r="E304" i="1"/>
  <c r="G243" i="1"/>
  <c r="G235" i="1"/>
  <c r="D83" i="1"/>
  <c r="G234" i="1" l="1"/>
  <c r="E131" i="1"/>
  <c r="D461" i="1"/>
  <c r="E83" i="1"/>
  <c r="D488" i="1"/>
  <c r="D26" i="8"/>
  <c r="B10" i="8"/>
  <c r="B14" i="8"/>
  <c r="C9" i="8"/>
  <c r="D109" i="5"/>
  <c r="D99" i="5"/>
  <c r="E99" i="5"/>
  <c r="D100" i="5"/>
  <c r="E100" i="5"/>
  <c r="D101" i="5"/>
  <c r="E101" i="5"/>
  <c r="D102" i="5"/>
  <c r="E102" i="5"/>
  <c r="D103" i="5"/>
  <c r="E103" i="5"/>
  <c r="D104" i="5"/>
  <c r="E104" i="5"/>
  <c r="E98" i="5"/>
  <c r="D98" i="5"/>
  <c r="D52" i="5"/>
  <c r="E52" i="5"/>
  <c r="D53" i="5"/>
  <c r="E53" i="5"/>
  <c r="D54" i="5"/>
  <c r="E54" i="5"/>
  <c r="D55" i="5"/>
  <c r="E55" i="5"/>
  <c r="D56" i="5"/>
  <c r="E56" i="5"/>
  <c r="D57" i="5"/>
  <c r="E57" i="5"/>
  <c r="E51" i="5"/>
  <c r="D51" i="5"/>
  <c r="D41" i="5"/>
  <c r="E41" i="5"/>
  <c r="D42" i="5"/>
  <c r="E42" i="5"/>
  <c r="D43" i="5"/>
  <c r="E43" i="5"/>
  <c r="D44" i="5"/>
  <c r="E44" i="5"/>
  <c r="D45" i="5"/>
  <c r="E45" i="5"/>
  <c r="D46" i="5"/>
  <c r="E46" i="5"/>
  <c r="E40" i="5"/>
  <c r="D40" i="5"/>
  <c r="E24" i="5"/>
  <c r="D24" i="5"/>
  <c r="D19" i="5"/>
  <c r="E19" i="5"/>
  <c r="D20" i="5"/>
  <c r="E20" i="5"/>
  <c r="D21" i="5"/>
  <c r="E21" i="5"/>
  <c r="D22" i="5"/>
  <c r="E22" i="5"/>
  <c r="D23" i="5"/>
  <c r="E23" i="5"/>
  <c r="E18" i="5"/>
  <c r="D18" i="5"/>
  <c r="I461" i="1"/>
  <c r="I323" i="1"/>
  <c r="I304" i="1"/>
  <c r="I273" i="1"/>
  <c r="I231" i="1"/>
  <c r="I131" i="1"/>
  <c r="I83" i="1"/>
  <c r="I67" i="1"/>
  <c r="I37" i="1"/>
  <c r="G295" i="1"/>
  <c r="G296" i="1"/>
  <c r="G297" i="1"/>
  <c r="G298" i="1"/>
  <c r="G300" i="1"/>
  <c r="G301" i="1"/>
  <c r="G302" i="1"/>
  <c r="G303" i="1"/>
  <c r="G290" i="1"/>
  <c r="G291" i="1"/>
  <c r="G292" i="1"/>
  <c r="G293" i="1"/>
  <c r="G23" i="1"/>
  <c r="G24" i="1"/>
  <c r="G25" i="1"/>
  <c r="G26" i="1"/>
  <c r="G28" i="1"/>
  <c r="G29" i="1"/>
  <c r="G30" i="1"/>
  <c r="G31" i="1"/>
  <c r="G33" i="1"/>
  <c r="G34" i="1"/>
  <c r="G35" i="1"/>
  <c r="G36" i="1"/>
  <c r="G46" i="1"/>
  <c r="G44" i="1"/>
  <c r="G45" i="1"/>
  <c r="G48" i="1"/>
  <c r="G49" i="1"/>
  <c r="G50" i="1"/>
  <c r="G51" i="1"/>
  <c r="G81" i="1"/>
  <c r="G82" i="1"/>
  <c r="G17" i="1"/>
  <c r="G18" i="1"/>
  <c r="G19" i="1"/>
  <c r="G20" i="1"/>
  <c r="G21" i="1"/>
  <c r="G435" i="1"/>
  <c r="G436" i="1"/>
  <c r="G437" i="1"/>
  <c r="G135" i="1" l="1"/>
  <c r="E67" i="1"/>
  <c r="G455" i="1"/>
  <c r="G457" i="1"/>
  <c r="G309" i="1"/>
  <c r="G312" i="1"/>
  <c r="G236" i="1"/>
  <c r="F131" i="1"/>
  <c r="G105" i="1"/>
  <c r="G106" i="1"/>
  <c r="G107" i="1"/>
  <c r="G108" i="1"/>
  <c r="G124" i="1"/>
  <c r="G125" i="1"/>
  <c r="G126" i="1"/>
  <c r="G117" i="1"/>
  <c r="G118" i="1"/>
  <c r="G119" i="1"/>
  <c r="G120" i="1"/>
  <c r="G121" i="1"/>
  <c r="G122" i="1"/>
  <c r="G113" i="1"/>
  <c r="G114" i="1"/>
  <c r="G115" i="1"/>
  <c r="G116" i="1"/>
  <c r="B18" i="8"/>
  <c r="B5" i="8"/>
  <c r="D21" i="4"/>
  <c r="E21" i="4"/>
  <c r="D7" i="4"/>
  <c r="E7" i="4"/>
  <c r="E24" i="8" l="1"/>
  <c r="D147" i="5"/>
  <c r="I419" i="1"/>
  <c r="I391" i="1"/>
  <c r="I364" i="1"/>
  <c r="F14" i="5"/>
  <c r="F188" i="5"/>
  <c r="E188" i="5"/>
  <c r="D188" i="5"/>
  <c r="D24" i="8" l="1"/>
  <c r="C21" i="8" l="1"/>
  <c r="C20" i="8"/>
  <c r="C19" i="8"/>
  <c r="C16" i="8"/>
  <c r="C15" i="8"/>
  <c r="C12" i="8"/>
  <c r="C11" i="8"/>
  <c r="C8" i="8"/>
  <c r="C7" i="8"/>
  <c r="C6" i="8"/>
  <c r="G438" i="1" l="1"/>
  <c r="G439" i="1"/>
  <c r="G440" i="1"/>
  <c r="G441" i="1"/>
  <c r="G442" i="1"/>
  <c r="G443" i="1"/>
  <c r="G444" i="1"/>
  <c r="G445" i="1"/>
  <c r="G446" i="1"/>
  <c r="G447" i="1"/>
  <c r="G448" i="1"/>
  <c r="G206" i="1" l="1"/>
  <c r="G207" i="1"/>
  <c r="G208" i="1"/>
  <c r="G209" i="1"/>
  <c r="G210" i="1"/>
  <c r="G211" i="1"/>
  <c r="G212" i="1"/>
  <c r="G213" i="1"/>
  <c r="G214" i="1"/>
  <c r="G215" i="1"/>
  <c r="G216" i="1"/>
  <c r="G217" i="1"/>
  <c r="G218" i="1"/>
  <c r="G219" i="1"/>
  <c r="G220" i="1"/>
  <c r="G221" i="1"/>
  <c r="G222" i="1"/>
  <c r="G223" i="1"/>
  <c r="G224" i="1"/>
  <c r="G225" i="1"/>
  <c r="D391" i="1" l="1"/>
  <c r="G397" i="1"/>
  <c r="G318" i="1"/>
  <c r="G322" i="1"/>
  <c r="G394" i="1"/>
  <c r="G395" i="1"/>
  <c r="G396" i="1"/>
  <c r="G398" i="1"/>
  <c r="G399" i="1"/>
  <c r="G400" i="1"/>
  <c r="G401" i="1"/>
  <c r="G402" i="1"/>
  <c r="G403" i="1"/>
  <c r="G404" i="1"/>
  <c r="G405" i="1"/>
  <c r="G406" i="1"/>
  <c r="G407" i="1"/>
  <c r="G408" i="1"/>
  <c r="G409" i="1"/>
  <c r="G410" i="1"/>
  <c r="G411" i="1"/>
  <c r="G412" i="1"/>
  <c r="G413" i="1"/>
  <c r="G414" i="1"/>
  <c r="G415" i="1"/>
  <c r="G416" i="1"/>
  <c r="G367" i="1"/>
  <c r="G368" i="1"/>
  <c r="G369" i="1"/>
  <c r="G370" i="1"/>
  <c r="G371" i="1"/>
  <c r="G372" i="1"/>
  <c r="G373" i="1"/>
  <c r="G374" i="1"/>
  <c r="G375" i="1"/>
  <c r="G376" i="1"/>
  <c r="G377" i="1"/>
  <c r="G378" i="1"/>
  <c r="G379" i="1"/>
  <c r="G380" i="1"/>
  <c r="G381" i="1"/>
  <c r="G382" i="1"/>
  <c r="G383" i="1"/>
  <c r="G384" i="1"/>
  <c r="G385" i="1"/>
  <c r="G340" i="1"/>
  <c r="G341" i="1"/>
  <c r="G342" i="1"/>
  <c r="G343" i="1"/>
  <c r="G344" i="1"/>
  <c r="G345" i="1"/>
  <c r="G346" i="1"/>
  <c r="G347" i="1"/>
  <c r="G348" i="1"/>
  <c r="G349" i="1"/>
  <c r="G350" i="1"/>
  <c r="G351" i="1"/>
  <c r="G352" i="1"/>
  <c r="G353" i="1"/>
  <c r="G354" i="1"/>
  <c r="G313" i="1"/>
  <c r="G294" i="1"/>
  <c r="G299" i="1"/>
  <c r="G289" i="1"/>
  <c r="H304" i="1" l="1"/>
  <c r="G304" i="1"/>
  <c r="E27" i="8"/>
  <c r="F27" i="8"/>
  <c r="D27" i="8"/>
  <c r="F26" i="8"/>
  <c r="F25" i="8"/>
  <c r="F24" i="8"/>
  <c r="G24" i="8" s="1"/>
  <c r="G43" i="1"/>
  <c r="D23" i="8" l="1"/>
  <c r="E23" i="8"/>
  <c r="G248" i="1" l="1"/>
  <c r="G249" i="1"/>
  <c r="G250" i="1"/>
  <c r="G251" i="1"/>
  <c r="G252" i="1"/>
  <c r="G253" i="1"/>
  <c r="G254" i="1"/>
  <c r="G255" i="1"/>
  <c r="G256" i="1"/>
  <c r="G257" i="1"/>
  <c r="G258" i="1"/>
  <c r="G259" i="1"/>
  <c r="G260" i="1"/>
  <c r="G261" i="1"/>
  <c r="G262" i="1"/>
  <c r="G263" i="1"/>
  <c r="G264" i="1"/>
  <c r="G265" i="1"/>
  <c r="G266" i="1"/>
  <c r="G267" i="1"/>
  <c r="G268" i="1"/>
  <c r="G269" i="1"/>
  <c r="G270" i="1"/>
  <c r="G271" i="1"/>
  <c r="G272" i="1"/>
  <c r="G147" i="1"/>
  <c r="G151" i="1"/>
  <c r="G152" i="1"/>
  <c r="G153" i="1"/>
  <c r="G154" i="1"/>
  <c r="G155" i="1"/>
  <c r="G159" i="1"/>
  <c r="G160" i="1"/>
  <c r="G161" i="1"/>
  <c r="G162" i="1"/>
  <c r="G163"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26" i="1"/>
  <c r="G57" i="1"/>
  <c r="G58" i="1"/>
  <c r="G59" i="1"/>
  <c r="G60" i="1"/>
  <c r="G61" i="1"/>
  <c r="G434"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F99" i="5"/>
  <c r="F100" i="5"/>
  <c r="F101" i="5"/>
  <c r="F102" i="5"/>
  <c r="F103" i="5"/>
  <c r="F104" i="5"/>
  <c r="F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F52" i="5"/>
  <c r="F53" i="5"/>
  <c r="F54" i="5"/>
  <c r="F55" i="5"/>
  <c r="F56" i="5"/>
  <c r="F57" i="5"/>
  <c r="F51" i="5"/>
  <c r="F46" i="5"/>
  <c r="F41" i="5"/>
  <c r="F42" i="5"/>
  <c r="F43" i="5"/>
  <c r="F44" i="5"/>
  <c r="F45" i="5"/>
  <c r="F40" i="5"/>
  <c r="E30" i="5"/>
  <c r="F30" i="5"/>
  <c r="E31" i="5"/>
  <c r="F31" i="5"/>
  <c r="E32" i="5"/>
  <c r="F32" i="5"/>
  <c r="E33" i="5"/>
  <c r="F33" i="5"/>
  <c r="E34" i="5"/>
  <c r="F34" i="5"/>
  <c r="E35" i="5"/>
  <c r="F35" i="5"/>
  <c r="F29" i="5"/>
  <c r="E29" i="5"/>
  <c r="D30" i="5"/>
  <c r="D31" i="5"/>
  <c r="D32" i="5"/>
  <c r="D33" i="5"/>
  <c r="D34" i="5"/>
  <c r="D35" i="5"/>
  <c r="D29" i="5"/>
  <c r="F19" i="5"/>
  <c r="F20" i="5"/>
  <c r="F21" i="5"/>
  <c r="F22" i="5"/>
  <c r="F23" i="5"/>
  <c r="F24" i="5"/>
  <c r="G24" i="5" s="1"/>
  <c r="F18" i="5"/>
  <c r="I431" i="1"/>
  <c r="G460" i="1"/>
  <c r="G449" i="1"/>
  <c r="G430" i="1"/>
  <c r="G429" i="1"/>
  <c r="G428" i="1"/>
  <c r="G427" i="1"/>
  <c r="G426" i="1"/>
  <c r="G425" i="1"/>
  <c r="G424" i="1"/>
  <c r="G423" i="1"/>
  <c r="G422" i="1"/>
  <c r="G421" i="1"/>
  <c r="G418" i="1"/>
  <c r="G417" i="1"/>
  <c r="G393" i="1"/>
  <c r="G390" i="1"/>
  <c r="G389" i="1"/>
  <c r="G388" i="1"/>
  <c r="G387" i="1"/>
  <c r="G386" i="1"/>
  <c r="G366" i="1"/>
  <c r="G363" i="1"/>
  <c r="G362" i="1"/>
  <c r="G361" i="1"/>
  <c r="G360" i="1"/>
  <c r="G359" i="1"/>
  <c r="G358" i="1"/>
  <c r="G357" i="1"/>
  <c r="G356" i="1"/>
  <c r="G355" i="1"/>
  <c r="G339" i="1"/>
  <c r="G334" i="1"/>
  <c r="G333" i="1"/>
  <c r="G332" i="1"/>
  <c r="G331" i="1"/>
  <c r="G330" i="1"/>
  <c r="G329" i="1"/>
  <c r="G328" i="1"/>
  <c r="G327" i="1"/>
  <c r="G326" i="1"/>
  <c r="G325" i="1"/>
  <c r="G306" i="1"/>
  <c r="G284" i="1"/>
  <c r="G283" i="1"/>
  <c r="G282" i="1"/>
  <c r="G281" i="1"/>
  <c r="G280" i="1"/>
  <c r="G279" i="1"/>
  <c r="G278" i="1"/>
  <c r="G277" i="1"/>
  <c r="G276" i="1"/>
  <c r="G275" i="1"/>
  <c r="G247" i="1"/>
  <c r="G245" i="1"/>
  <c r="G244" i="1"/>
  <c r="G241" i="1"/>
  <c r="G237" i="1"/>
  <c r="G233" i="1"/>
  <c r="G230" i="1"/>
  <c r="G229" i="1"/>
  <c r="G228" i="1"/>
  <c r="G227" i="1"/>
  <c r="G140" i="1"/>
  <c r="G138" i="1"/>
  <c r="G137" i="1"/>
  <c r="G130" i="1"/>
  <c r="G129" i="1"/>
  <c r="G128" i="1"/>
  <c r="G127" i="1"/>
  <c r="G123" i="1"/>
  <c r="G112" i="1"/>
  <c r="G111" i="1"/>
  <c r="G110" i="1"/>
  <c r="G109" i="1"/>
  <c r="H83" i="1"/>
  <c r="F37" i="1"/>
  <c r="F67" i="1"/>
  <c r="F7" i="8" s="1"/>
  <c r="G66" i="1"/>
  <c r="G65" i="1"/>
  <c r="G64" i="1"/>
  <c r="G63" i="1"/>
  <c r="G62" i="1"/>
  <c r="G56" i="1"/>
  <c r="G55" i="1"/>
  <c r="G54" i="1"/>
  <c r="G53" i="1"/>
  <c r="G52" i="1"/>
  <c r="G47" i="1"/>
  <c r="G42" i="1"/>
  <c r="G41" i="1"/>
  <c r="G40" i="1"/>
  <c r="G39" i="1"/>
  <c r="G22" i="1"/>
  <c r="G27" i="1"/>
  <c r="G32" i="1"/>
  <c r="G16" i="1"/>
  <c r="H323" i="1" l="1"/>
  <c r="G323" i="1"/>
  <c r="H461" i="1"/>
  <c r="H131" i="1"/>
  <c r="H231" i="1"/>
  <c r="H37" i="1"/>
  <c r="H67" i="1"/>
  <c r="H273" i="1"/>
  <c r="G131" i="1"/>
  <c r="G273" i="1"/>
  <c r="G37" i="1"/>
  <c r="G461" i="1"/>
  <c r="G67" i="1"/>
  <c r="G83" i="1"/>
  <c r="G231" i="1"/>
  <c r="D194" i="5"/>
  <c r="D189" i="5"/>
  <c r="D42" i="8" s="1"/>
  <c r="H419" i="1"/>
  <c r="G147" i="5"/>
  <c r="H364" i="1"/>
  <c r="H391" i="1"/>
  <c r="G364" i="1"/>
  <c r="G419" i="1"/>
  <c r="G391" i="1"/>
  <c r="E189" i="5"/>
  <c r="E195" i="5"/>
  <c r="E48" i="8" s="1"/>
  <c r="E194" i="5"/>
  <c r="E191" i="5"/>
  <c r="E193" i="5"/>
  <c r="E190" i="5"/>
  <c r="F194" i="5"/>
  <c r="F191" i="5"/>
  <c r="F44" i="8" s="1"/>
  <c r="F189" i="5"/>
  <c r="F190" i="5"/>
  <c r="F195" i="5"/>
  <c r="F192" i="5"/>
  <c r="D195" i="5"/>
  <c r="D192" i="5"/>
  <c r="D193" i="5"/>
  <c r="D190" i="5"/>
  <c r="F193" i="5"/>
  <c r="D191" i="5"/>
  <c r="H335" i="1"/>
  <c r="F6" i="8"/>
  <c r="H285" i="1"/>
  <c r="H431" i="1"/>
  <c r="E47" i="5"/>
  <c r="F47" i="5"/>
  <c r="G46" i="5"/>
  <c r="G431" i="1"/>
  <c r="G285" i="1"/>
  <c r="G335" i="1"/>
  <c r="F24" i="4"/>
  <c r="F23" i="4"/>
  <c r="F22" i="4"/>
  <c r="D485" i="1" l="1"/>
  <c r="D196" i="5"/>
  <c r="D197" i="5" s="1"/>
  <c r="I335" i="1"/>
  <c r="I285" i="1"/>
  <c r="I485" i="1" l="1"/>
  <c r="G18" i="5"/>
  <c r="G19" i="5"/>
  <c r="G20" i="5"/>
  <c r="G21" i="5"/>
  <c r="G22" i="5"/>
  <c r="G23" i="5"/>
  <c r="D48" i="8" l="1"/>
  <c r="D43" i="8"/>
  <c r="D45" i="8"/>
  <c r="D46" i="8"/>
  <c r="D47" i="8"/>
  <c r="C21" i="4"/>
  <c r="C10" i="4" l="1"/>
  <c r="D44" i="8"/>
  <c r="C7" i="4"/>
  <c r="D49" i="8" l="1"/>
  <c r="D198" i="5"/>
  <c r="D20" i="8"/>
  <c r="E391" i="1"/>
  <c r="E20" i="8" s="1"/>
  <c r="D14" i="5"/>
  <c r="E479" i="1"/>
  <c r="F479" i="1"/>
  <c r="D479" i="1"/>
  <c r="E471" i="1"/>
  <c r="F471" i="1"/>
  <c r="D471" i="1"/>
  <c r="F184" i="5"/>
  <c r="D184" i="5"/>
  <c r="G183" i="5"/>
  <c r="G182" i="5"/>
  <c r="G181" i="5"/>
  <c r="G179" i="5"/>
  <c r="G178" i="5"/>
  <c r="G177" i="5"/>
  <c r="F461" i="1"/>
  <c r="F176" i="5" s="1"/>
  <c r="D176" i="5"/>
  <c r="E176" i="5" l="1"/>
  <c r="G176" i="5" s="1"/>
  <c r="E180" i="5"/>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E196" i="5" s="1"/>
  <c r="E49" i="8" s="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D13" i="4"/>
  <c r="G190" i="5"/>
  <c r="G43" i="8" s="1"/>
  <c r="G195" i="5"/>
  <c r="G48" i="8" s="1"/>
  <c r="G193" i="5"/>
  <c r="G191" i="5"/>
  <c r="G44" i="8" s="1"/>
  <c r="G116" i="5"/>
  <c r="G140" i="5"/>
  <c r="G151" i="5"/>
  <c r="G173" i="5"/>
  <c r="G81" i="5"/>
  <c r="G105" i="5"/>
  <c r="G92" i="5"/>
  <c r="G36" i="5"/>
  <c r="G58" i="5"/>
  <c r="E431" i="1"/>
  <c r="F431" i="1"/>
  <c r="E419" i="1"/>
  <c r="E21" i="8" s="1"/>
  <c r="F419" i="1"/>
  <c r="F21" i="8" s="1"/>
  <c r="E143" i="5"/>
  <c r="F391" i="1"/>
  <c r="F20" i="8" s="1"/>
  <c r="E364" i="1"/>
  <c r="E19" i="8" s="1"/>
  <c r="F364" i="1"/>
  <c r="F19" i="8" s="1"/>
  <c r="E335" i="1"/>
  <c r="E17" i="8" s="1"/>
  <c r="F335" i="1"/>
  <c r="F17" i="8" s="1"/>
  <c r="F323" i="1"/>
  <c r="F16" i="8" s="1"/>
  <c r="E15" i="8"/>
  <c r="F304" i="1"/>
  <c r="F15" i="8" s="1"/>
  <c r="E285" i="1"/>
  <c r="F285" i="1"/>
  <c r="F273" i="1"/>
  <c r="E11" i="8"/>
  <c r="F231" i="1"/>
  <c r="E8" i="8"/>
  <c r="F83" i="1"/>
  <c r="F28" i="5"/>
  <c r="F17" i="5"/>
  <c r="G42" i="8" l="1"/>
  <c r="G46" i="8"/>
  <c r="E6" i="8"/>
  <c r="E472" i="1"/>
  <c r="E473" i="1" s="1"/>
  <c r="F8" i="4"/>
  <c r="F12" i="4"/>
  <c r="F13" i="4"/>
  <c r="F10" i="4"/>
  <c r="C15" i="4"/>
  <c r="C16" i="4" s="1"/>
  <c r="C17" i="4" s="1"/>
  <c r="F9" i="4"/>
  <c r="E16" i="8"/>
  <c r="E14" i="8" s="1"/>
  <c r="E45" i="8"/>
  <c r="E197" i="5"/>
  <c r="E50" i="8" s="1"/>
  <c r="D11" i="4"/>
  <c r="G192" i="5"/>
  <c r="G45" i="8" s="1"/>
  <c r="F14" i="8"/>
  <c r="F8" i="8"/>
  <c r="F472"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G196" i="5"/>
  <c r="E39" i="5"/>
  <c r="D15" i="4" l="1"/>
  <c r="D16" i="4" s="1"/>
  <c r="D17" i="4" s="1"/>
  <c r="F11" i="4"/>
  <c r="E198" i="5"/>
  <c r="E51" i="8" s="1"/>
  <c r="E10" i="8"/>
  <c r="E16" i="4"/>
  <c r="E17" i="4" s="1"/>
  <c r="F10" i="8"/>
  <c r="E5" i="8"/>
  <c r="F5" i="8"/>
  <c r="G28" i="5"/>
  <c r="F23" i="8"/>
  <c r="E18" i="8"/>
  <c r="G7" i="8"/>
  <c r="F18" i="8"/>
  <c r="F198" i="5"/>
  <c r="F51" i="8" s="1"/>
  <c r="G49" i="8"/>
  <c r="G197" i="5"/>
  <c r="G50" i="8" s="1"/>
  <c r="D51" i="8"/>
  <c r="D50" i="8"/>
  <c r="F473" i="1"/>
  <c r="F474" i="1" s="1"/>
  <c r="E474" i="1"/>
  <c r="D431" i="1"/>
  <c r="D419" i="1"/>
  <c r="D143" i="5"/>
  <c r="G143" i="5" s="1"/>
  <c r="D364" i="1"/>
  <c r="D19" i="8" s="1"/>
  <c r="D335" i="1"/>
  <c r="D17" i="8" s="1"/>
  <c r="G17" i="8" s="1"/>
  <c r="D16" i="8"/>
  <c r="G16" i="8" s="1"/>
  <c r="D15" i="8"/>
  <c r="D285" i="1"/>
  <c r="D231" i="1"/>
  <c r="D472" i="1" s="1"/>
  <c r="D473" i="1" l="1"/>
  <c r="D474" i="1" s="1"/>
  <c r="E22" i="8"/>
  <c r="E28" i="8" s="1"/>
  <c r="E29" i="8" s="1"/>
  <c r="E30" i="8" s="1"/>
  <c r="F481" i="1"/>
  <c r="E23" i="4" s="1"/>
  <c r="F482" i="1"/>
  <c r="E24" i="4" s="1"/>
  <c r="F480" i="1"/>
  <c r="E481" i="1"/>
  <c r="D23" i="4" s="1"/>
  <c r="E480" i="1"/>
  <c r="E482" i="1"/>
  <c r="D24" i="4" s="1"/>
  <c r="F15" i="4"/>
  <c r="F16" i="4" s="1"/>
  <c r="D21" i="8"/>
  <c r="G21" i="8" s="1"/>
  <c r="D8" i="8"/>
  <c r="G8" i="8" s="1"/>
  <c r="D14" i="8"/>
  <c r="G15" i="8"/>
  <c r="G14" i="8" s="1"/>
  <c r="F22" i="8"/>
  <c r="F28" i="8" s="1"/>
  <c r="F29" i="8" s="1"/>
  <c r="F30" i="8" s="1"/>
  <c r="F34" i="8" s="1"/>
  <c r="C29" i="6"/>
  <c r="D11" i="8"/>
  <c r="C18" i="6"/>
  <c r="D50" i="5"/>
  <c r="G50" i="5" s="1"/>
  <c r="D9" i="8"/>
  <c r="D154" i="5"/>
  <c r="G154" i="5" s="1"/>
  <c r="G26" i="8"/>
  <c r="D165" i="5"/>
  <c r="G165" i="5" s="1"/>
  <c r="G27" i="8"/>
  <c r="D73" i="5"/>
  <c r="G73" i="5" s="1"/>
  <c r="D12" i="8"/>
  <c r="G12" i="8" s="1"/>
  <c r="D119" i="5"/>
  <c r="G119" i="5" s="1"/>
  <c r="G198" i="5"/>
  <c r="D84" i="5"/>
  <c r="G84" i="5" s="1"/>
  <c r="D13" i="8"/>
  <c r="G13" i="8" s="1"/>
  <c r="D6" i="8"/>
  <c r="D108" i="5"/>
  <c r="G108" i="5" s="1"/>
  <c r="G20" i="8"/>
  <c r="D17" i="5"/>
  <c r="G17" i="5" s="1"/>
  <c r="D97" i="5"/>
  <c r="G97" i="5" s="1"/>
  <c r="D132" i="5"/>
  <c r="G132" i="5" s="1"/>
  <c r="C40" i="6"/>
  <c r="D62" i="5"/>
  <c r="G62" i="5" s="1"/>
  <c r="D39" i="5"/>
  <c r="G39" i="5" s="1"/>
  <c r="C7" i="6"/>
  <c r="D10" i="6" s="1"/>
  <c r="E34" i="8" l="1"/>
  <c r="E33" i="8"/>
  <c r="G51" i="8"/>
  <c r="G472" i="1"/>
  <c r="G473" i="1" s="1"/>
  <c r="D480" i="1"/>
  <c r="D5" i="8"/>
  <c r="D18" i="8"/>
  <c r="D10" i="8"/>
  <c r="G6" i="8"/>
  <c r="F17" i="4"/>
  <c r="F483" i="1"/>
  <c r="E22" i="4"/>
  <c r="E483" i="1"/>
  <c r="G11" i="8"/>
  <c r="G10" i="8" s="1"/>
  <c r="G19" i="8"/>
  <c r="G18" i="8" s="1"/>
  <c r="D22" i="4"/>
  <c r="F33" i="8"/>
  <c r="G9" i="8"/>
  <c r="G23" i="8"/>
  <c r="D45" i="6"/>
  <c r="D47" i="6"/>
  <c r="D46" i="6"/>
  <c r="D43" i="6"/>
  <c r="D44" i="6"/>
  <c r="D34" i="6"/>
  <c r="D36" i="6"/>
  <c r="D32" i="6"/>
  <c r="D33" i="6"/>
  <c r="D35" i="6"/>
  <c r="D24" i="6"/>
  <c r="D25" i="6"/>
  <c r="D21" i="6"/>
  <c r="D22" i="6"/>
  <c r="D23" i="6"/>
  <c r="D12" i="6"/>
  <c r="D11" i="6"/>
  <c r="D14" i="6"/>
  <c r="D13" i="6"/>
  <c r="E35" i="8" l="1"/>
  <c r="I486" i="1"/>
  <c r="D22" i="8"/>
  <c r="D28" i="8" s="1"/>
  <c r="G5" i="8"/>
  <c r="G22" i="8" s="1"/>
  <c r="D482" i="1"/>
  <c r="G482" i="1" s="1"/>
  <c r="D481" i="1"/>
  <c r="G481" i="1" s="1"/>
  <c r="G480" i="1"/>
  <c r="G474" i="1"/>
  <c r="C30" i="6"/>
  <c r="C41" i="6"/>
  <c r="C19" i="6"/>
  <c r="C8" i="6"/>
  <c r="D486" i="1" l="1"/>
  <c r="D489" i="1"/>
  <c r="G483" i="1"/>
  <c r="D483" i="1"/>
  <c r="G28" i="8"/>
  <c r="D29" i="8"/>
  <c r="D30" i="8" s="1"/>
  <c r="C23" i="4"/>
  <c r="C24" i="4"/>
  <c r="C22" i="4"/>
  <c r="G30" i="8" l="1"/>
  <c r="D33" i="8"/>
  <c r="D34" i="8"/>
  <c r="G29" i="8"/>
  <c r="D35" i="8" l="1"/>
  <c r="G35" i="8" s="1"/>
  <c r="H5" i="8"/>
  <c r="G33" i="8"/>
  <c r="G34" i="8"/>
  <c r="H29" i="8" l="1"/>
  <c r="H23" i="8"/>
  <c r="H18" i="8"/>
  <c r="H10" i="8"/>
  <c r="H14" i="8"/>
  <c r="H30" i="8"/>
</calcChain>
</file>

<file path=xl/sharedStrings.xml><?xml version="1.0" encoding="utf-8"?>
<sst xmlns="http://schemas.openxmlformats.org/spreadsheetml/2006/main" count="855" uniqueCount="627">
  <si>
    <t>Projet : Appui stratégique à la réforme du secteur de la sécurité, Phase II</t>
  </si>
  <si>
    <t>RECAPITULATIF DU BUDGET</t>
  </si>
  <si>
    <t>Ref de Resultats / Produits</t>
  </si>
  <si>
    <t>Formulation des produits</t>
  </si>
  <si>
    <t>PNUD</t>
  </si>
  <si>
    <t>ONUDC</t>
  </si>
  <si>
    <t>TOTAL BUDGET</t>
  </si>
  <si>
    <t>%</t>
  </si>
  <si>
    <t xml:space="preserve">Produit 1.1: </t>
  </si>
  <si>
    <t xml:space="preserve">Produit 1.2: </t>
  </si>
  <si>
    <t xml:space="preserve">Produit 1.3: </t>
  </si>
  <si>
    <t xml:space="preserve">Produit 1.4: </t>
  </si>
  <si>
    <t>Produit 2.1</t>
  </si>
  <si>
    <t xml:space="preserve">Produit 2.2 </t>
  </si>
  <si>
    <t xml:space="preserve">Produit 2.3 </t>
  </si>
  <si>
    <t xml:space="preserve">Produit 3.1 </t>
  </si>
  <si>
    <t>Produit 3.2</t>
  </si>
  <si>
    <t>Produit 3.3</t>
  </si>
  <si>
    <t>Produit 4.1</t>
  </si>
  <si>
    <t>Produit 4.2</t>
  </si>
  <si>
    <t>Produit 4.3</t>
  </si>
  <si>
    <t>SOUS TOTAL DES ACTIVITES</t>
  </si>
  <si>
    <t>Coût de personnel du projet si pas inclus dans les activites si-dessus</t>
  </si>
  <si>
    <t>Coûts operationnels si pas inclus dans les activites si-dessus</t>
  </si>
  <si>
    <t>Suivi Evaluation</t>
  </si>
  <si>
    <t>Evaluation finale du projet</t>
  </si>
  <si>
    <t>SOUS TOTAL ACTIVITES + COORDINATION ET GESTION</t>
  </si>
  <si>
    <t>GMS / Couts indirects (7%):</t>
  </si>
  <si>
    <t>BUDGET TOTAL DU PROJET</t>
  </si>
  <si>
    <t>TRANCHES DE VERSEMENTS</t>
  </si>
  <si>
    <t xml:space="preserve">TOTAL </t>
  </si>
  <si>
    <t>RECAPITULATIF DU BUDGET PAR CATEGORIE UNDG</t>
  </si>
  <si>
    <t>Organisation recipiendiaire 1</t>
  </si>
  <si>
    <t>Organisation recipiendiaire 2</t>
  </si>
  <si>
    <t>Organisation recipiendiaire 3</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</si>
  <si>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</si>
  <si>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</si>
  <si>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</si>
  <si>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</si>
  <si>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</si>
  <si>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</si>
  <si>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</si>
  <si>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</si>
  <si>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</si>
  <si>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</si>
  <si>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</si>
  <si>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</si>
  <si>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</si>
  <si>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</si>
  <si>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t>Tableau 1 - Budget du projet PBF par résultat, produit et activité</t>
  </si>
  <si>
    <t>Nombre de resultat/ produit</t>
  </si>
  <si>
    <t>Formulation du resultat/ produit/activite</t>
  </si>
  <si>
    <t xml:space="preserve">Organisation recipiendiaire 3 (budget en USD)
</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</si>
  <si>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</si>
  <si>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</si>
  <si>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</si>
  <si>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</si>
  <si>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Catégorie UNDG</t>
  </si>
  <si>
    <t xml:space="preserve">RESULTAT 1: </t>
  </si>
  <si>
    <t>Produit 1.1:</t>
  </si>
  <si>
    <t>Total pour produit 1.1</t>
  </si>
  <si>
    <t>Produit 1.2:</t>
  </si>
  <si>
    <t>Total pour produit 1.2</t>
  </si>
  <si>
    <t>Produit 1.3:</t>
  </si>
  <si>
    <t xml:space="preserve"> Le contrôle civil de la gouvernance des institutions sécuritaires est amélioré. </t>
  </si>
  <si>
    <t xml:space="preserve"> Bureautique, divers, divers </t>
  </si>
  <si>
    <t>Total pour produit 1.3</t>
  </si>
  <si>
    <t>Produit 1.4:</t>
  </si>
  <si>
    <t>Total pour produit 1.4</t>
  </si>
  <si>
    <t xml:space="preserve">RESULTAT 2: </t>
  </si>
  <si>
    <t>Les femmes et le jeunes ont un cadre de participation dans la gouvernance sécuritaire et la prise en compte du genre au sein des institutions de défense et de sécurité est systématisée</t>
  </si>
  <si>
    <t>Activite 2.1.:</t>
  </si>
  <si>
    <t>Total pour produit 2.1</t>
  </si>
  <si>
    <t>Produit 2.2</t>
  </si>
  <si>
    <t>Activite 2.2.:</t>
  </si>
  <si>
    <t>Total pour produit 2.2</t>
  </si>
  <si>
    <t>Produit 2.3</t>
  </si>
  <si>
    <t>Activite 2.3.1:</t>
  </si>
  <si>
    <t>Activite 2.3.2:</t>
  </si>
  <si>
    <t>Total pour produit 2.3</t>
  </si>
  <si>
    <t xml:space="preserve">RESULTAT 3: </t>
  </si>
  <si>
    <t>Produit 3.1</t>
  </si>
  <si>
    <t>Total pour produit 3.1</t>
  </si>
  <si>
    <t>Produit 3.2:</t>
  </si>
  <si>
    <t>Total pour produit 3.2</t>
  </si>
  <si>
    <t>Activite 3.3.1:</t>
  </si>
  <si>
    <t>Activite 3.3.2:</t>
  </si>
  <si>
    <t>Total pour produit 3.3</t>
  </si>
  <si>
    <t xml:space="preserve">RESULTAT 4: </t>
  </si>
  <si>
    <t>Activite 4.1.4:</t>
  </si>
  <si>
    <t>Activite 4.1.5:</t>
  </si>
  <si>
    <t>Total pour produit 4.1</t>
  </si>
  <si>
    <t>Activite 4.2.5:</t>
  </si>
  <si>
    <t>Total pour produit 4.2</t>
  </si>
  <si>
    <t>Activite 4.3.5:</t>
  </si>
  <si>
    <t>Total pour produit 4.3</t>
  </si>
  <si>
    <t>Produit 4.4</t>
  </si>
  <si>
    <t>Activite 4.4.1:</t>
  </si>
  <si>
    <t>Activite 4.4.2:</t>
  </si>
  <si>
    <t>Total pour produit 4.4</t>
  </si>
  <si>
    <t>Cout de personnel du projet si pas inclus dans les activites si-dessus</t>
  </si>
  <si>
    <t>Chargé de projet (VNU)    (100%)</t>
  </si>
  <si>
    <t xml:space="preserve"> Assistant Administratif   (5%) </t>
  </si>
  <si>
    <t xml:space="preserve"> Un expert Application de la loi /Genre (existant) (2,5%) </t>
  </si>
  <si>
    <t>Couts operationnels si pas inclus dans les activites si-dessus</t>
  </si>
  <si>
    <t>Budget de suivi</t>
  </si>
  <si>
    <t>Budget pour l'évaluation finale indépendante</t>
  </si>
  <si>
    <t>Coûts supplémentaires total</t>
  </si>
  <si>
    <t>Recipient Organization 2</t>
  </si>
  <si>
    <t xml:space="preserve">Recipient Organization 3
</t>
  </si>
  <si>
    <t>Répartition des tranches basée sur la performance</t>
  </si>
  <si>
    <t>Tranche %</t>
  </si>
  <si>
    <t>Première tranche</t>
  </si>
  <si>
    <t>Deuxième tranche</t>
  </si>
  <si>
    <t>Troisième tranche</t>
  </si>
  <si>
    <r>
      <t xml:space="preserve">$ alloué à GEWE </t>
    </r>
    <r>
      <rPr>
        <sz val="11"/>
        <color theme="1"/>
        <rFont val="Calibri"/>
        <family val="2"/>
        <scheme val="minor"/>
      </rPr>
      <t>(inclut coûts indirects)</t>
    </r>
  </si>
  <si>
    <t>Total des dépenses</t>
  </si>
  <si>
    <t>% alloué à GEWE</t>
  </si>
  <si>
    <t>Taux d'exécution</t>
  </si>
  <si>
    <t xml:space="preserve"> </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</si>
  <si>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</si>
  <si>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</si>
  <si>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</si>
  <si>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</si>
  <si>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</si>
  <si>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</si>
  <si>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</si>
  <si>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</si>
  <si>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</si>
  <si>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</si>
  <si>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</si>
  <si>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</si>
  <si>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</si>
  <si>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</si>
  <si>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</si>
  <si>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</si>
  <si>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</si>
  <si>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</si>
  <si>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</si>
  <si>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</si>
  <si>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</si>
  <si>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</si>
  <si>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</si>
  <si>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</si>
  <si>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</si>
  <si>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</si>
  <si>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</si>
  <si>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</si>
  <si>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</si>
  <si>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</si>
  <si>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</si>
  <si>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</si>
  <si>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</si>
  <si>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</si>
  <si>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</si>
  <si>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</si>
  <si>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</si>
  <si>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</si>
  <si>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</si>
  <si>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</si>
  <si>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</si>
  <si>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</si>
  <si>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</si>
  <si>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</si>
  <si>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</si>
  <si>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</si>
  <si>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</si>
  <si>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</si>
  <si>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</si>
  <si>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</si>
  <si>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</si>
  <si>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</si>
  <si>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</si>
  <si>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</si>
  <si>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</si>
  <si>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</si>
  <si>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</si>
  <si>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</si>
  <si>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</si>
  <si>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</si>
  <si>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</si>
  <si>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</si>
  <si>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</si>
  <si>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</si>
  <si>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</si>
  <si>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</si>
  <si>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</si>
  <si>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</si>
  <si>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</si>
  <si>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</si>
  <si>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</si>
  <si>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</si>
  <si>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</si>
  <si>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</si>
  <si>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</si>
  <si>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</si>
  <si>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</si>
  <si>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</si>
  <si>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</si>
  <si>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</si>
  <si>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</si>
  <si>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</si>
  <si>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</si>
  <si>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</si>
  <si>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</si>
  <si>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</si>
  <si>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</si>
  <si>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</si>
  <si>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</si>
  <si>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</si>
  <si>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</si>
  <si>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</si>
  <si>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</si>
  <si>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</si>
  <si>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</si>
  <si>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</si>
  <si>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</si>
  <si>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</si>
  <si>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</si>
  <si>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</si>
  <si>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</si>
  <si>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</si>
  <si>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</si>
  <si>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</si>
  <si>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</si>
  <si>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</si>
  <si>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</si>
  <si>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</si>
  <si>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</si>
  <si>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</si>
  <si>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</si>
  <si>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</si>
  <si>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</si>
  <si>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</si>
  <si>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</si>
  <si>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</si>
  <si>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</si>
  <si>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</si>
  <si>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</si>
  <si>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</si>
  <si>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</si>
  <si>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</si>
  <si>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</si>
  <si>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</si>
  <si>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</si>
  <si>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</si>
  <si>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</si>
  <si>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</si>
  <si>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</si>
  <si>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</si>
  <si>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</si>
  <si>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</si>
  <si>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</si>
  <si>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</si>
  <si>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</si>
  <si>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</si>
  <si>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</si>
  <si>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</si>
  <si>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</si>
  <si>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</si>
  <si>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</si>
  <si>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</si>
  <si>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</si>
  <si>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</si>
  <si>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</si>
  <si>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</si>
  <si>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</si>
  <si>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</si>
  <si>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</si>
  <si>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</si>
  <si>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</si>
  <si>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</si>
  <si>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</si>
  <si>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</si>
  <si>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</si>
  <si>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</si>
  <si>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</si>
  <si>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</si>
  <si>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</si>
  <si>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</si>
  <si>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</si>
  <si>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</si>
  <si>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</si>
  <si>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</si>
  <si>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</si>
  <si>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</si>
  <si>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</si>
  <si>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</si>
  <si>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</si>
  <si>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</si>
  <si>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</si>
  <si>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</si>
  <si>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</si>
  <si>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</si>
  <si>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</si>
  <si>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</si>
  <si>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</si>
  <si>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</si>
  <si>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</si>
  <si>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</si>
  <si>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</si>
  <si>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</si>
  <si>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</si>
  <si>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</si>
  <si>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</si>
  <si>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</si>
  <si>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</si>
  <si>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</si>
  <si>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</si>
  <si>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</si>
  <si>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</si>
  <si>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</si>
  <si>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</si>
  <si>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</si>
  <si>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</si>
  <si>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</si>
  <si>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</si>
  <si>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</si>
  <si>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</si>
  <si>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</si>
  <si>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</si>
  <si>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</si>
  <si>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</si>
  <si>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</si>
  <si>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</si>
  <si>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</si>
  <si>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</si>
  <si>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</si>
  <si>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</si>
  <si>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</si>
  <si>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</si>
  <si>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</si>
  <si>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</si>
  <si>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</si>
  <si>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</si>
  <si>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</si>
  <si>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</si>
  <si>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</si>
  <si>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</si>
  <si>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</si>
  <si>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</si>
  <si>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</si>
  <si>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</si>
  <si>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</si>
  <si>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</si>
  <si>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</si>
  <si>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</si>
  <si>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</si>
  <si>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</si>
  <si>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</si>
  <si>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</si>
  <si>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</si>
  <si>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</si>
  <si>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</si>
  <si>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</si>
  <si>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</si>
  <si>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</si>
  <si>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</si>
  <si>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</si>
  <si>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</si>
  <si>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</si>
  <si>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</si>
  <si>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</si>
  <si>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</si>
  <si>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</si>
  <si>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</si>
  <si>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</si>
  <si>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</si>
  <si>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</si>
  <si>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</si>
  <si>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</si>
  <si>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</si>
  <si>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</si>
  <si>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</si>
  <si>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</si>
  <si>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</si>
  <si>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</si>
  <si>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</si>
  <si>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</si>
  <si>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</si>
  <si>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</si>
  <si>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</si>
  <si>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</si>
  <si>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</si>
  <si>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</si>
  <si>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</si>
  <si>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</si>
  <si>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</si>
  <si>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</si>
  <si>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</si>
  <si>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</si>
  <si>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</si>
  <si>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</si>
  <si>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</si>
  <si>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</si>
  <si>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</si>
  <si>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</si>
  <si>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</si>
  <si>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</si>
  <si>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</si>
  <si>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</si>
  <si>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</si>
  <si>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</si>
  <si>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</si>
  <si>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</si>
  <si>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</si>
  <si>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</si>
  <si>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</si>
  <si>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</si>
  <si>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</si>
  <si>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</si>
  <si>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</si>
  <si>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</si>
  <si>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</si>
  <si>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</si>
  <si>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</si>
  <si>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</si>
  <si>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</si>
  <si>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</si>
  <si>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</si>
  <si>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</si>
  <si>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</si>
  <si>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</si>
  <si>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</si>
  <si>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</si>
  <si>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</si>
  <si>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</si>
  <si>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</si>
  <si>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</si>
  <si>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</si>
  <si>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</si>
  <si>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</si>
  <si>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</si>
  <si>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</si>
  <si>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</si>
  <si>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</si>
  <si>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</si>
  <si>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</si>
  <si>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</si>
  <si>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</si>
  <si>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</si>
  <si>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</si>
  <si>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</si>
  <si>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</si>
  <si>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</si>
  <si>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</si>
  <si>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</si>
  <si>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</si>
  <si>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</si>
  <si>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</si>
  <si>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</si>
  <si>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</si>
  <si>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</si>
  <si>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</si>
  <si>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</si>
  <si>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</si>
  <si>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</si>
  <si>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</si>
  <si>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</si>
  <si>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</si>
  <si>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</si>
  <si>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</si>
  <si>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</si>
  <si>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</si>
  <si>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</si>
  <si>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</si>
  <si>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</si>
  <si>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</si>
  <si>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</si>
  <si>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</si>
  <si>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</si>
  <si>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</si>
  <si>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</si>
  <si>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</si>
  <si>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</si>
  <si>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</si>
  <si>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</si>
  <si>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</si>
  <si>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</si>
  <si>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</si>
  <si>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</si>
  <si>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</si>
  <si>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</si>
  <si>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</si>
  <si>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</si>
  <si>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</si>
  <si>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</si>
  <si>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</si>
  <si>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</si>
  <si>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</si>
  <si>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</si>
  <si>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</si>
  <si>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</si>
  <si>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</si>
  <si>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</si>
  <si>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</si>
  <si>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</si>
  <si>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</si>
  <si>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</si>
  <si>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</si>
  <si>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</si>
  <si>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</si>
  <si>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</si>
  <si>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</si>
  <si>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</si>
  <si>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</si>
  <si>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</si>
  <si>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</si>
  <si>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</si>
  <si>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</si>
  <si>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</si>
  <si>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</si>
  <si>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</si>
  <si>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</si>
  <si>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</si>
  <si>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</si>
  <si>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</si>
  <si>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</si>
  <si>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</si>
  <si>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</si>
  <si>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</si>
  <si>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</si>
  <si>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</si>
  <si>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</si>
  <si>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</si>
  <si>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</si>
  <si>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</si>
  <si>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</si>
  <si>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</si>
  <si>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</si>
  <si>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Organisation recipiendiaire 2 (budget en USD)</t>
  </si>
  <si>
    <t>Organisation recipiendiaire 1 (budget en USD)</t>
  </si>
  <si>
    <t>Les capacités stratégiques des parties prenantes à la RSS permettant la mise en œuvre, le suivi et évaluation de la politique de sécurité nationale et des stratégies sectorielles y compris dans leur volet de redevabilité sont améliorées.</t>
  </si>
  <si>
    <t>Les structures de contrôle judiciaire, les juridictions et le ministère de la justice renforcent leur rôle de contrôle et de mise en œuvre de l’aspect RSS de la « Politique sectorielle Justice et Droits Humains 2018-2027 »</t>
  </si>
  <si>
    <t>D’ici la fin du projet, les acteurs de la chaîne pénale, les forces de sécurité, la société civile, et les populations développent une relation de confiance accrue</t>
  </si>
  <si>
    <r>
      <rPr>
        <b/>
        <sz val="12"/>
        <color theme="1"/>
        <rFont val="Calibri"/>
        <family val="2"/>
        <scheme val="minor"/>
      </rPr>
      <t>Activite 1.1.1</t>
    </r>
    <r>
      <rPr>
        <sz val="12"/>
        <color theme="1"/>
        <rFont val="Calibri"/>
        <family val="2"/>
        <scheme val="minor"/>
      </rPr>
      <t>: Participer /faciliter les discussions politiques de haut niveau pour un consensus autour des réformes.</t>
    </r>
  </si>
  <si>
    <r>
      <rPr>
        <b/>
        <sz val="12"/>
        <color theme="1"/>
        <rFont val="Calibri"/>
        <family val="2"/>
        <scheme val="minor"/>
      </rPr>
      <t>Activite 1.1.2</t>
    </r>
    <r>
      <rPr>
        <sz val="12"/>
        <color theme="1"/>
        <rFont val="Calibri"/>
        <family val="2"/>
        <scheme val="minor"/>
      </rPr>
      <t>: Soutenir les instances de prise de décision, issues de l’architecture nationale de la sécurité</t>
    </r>
  </si>
  <si>
    <r>
      <rPr>
        <b/>
        <sz val="12"/>
        <color theme="1"/>
        <rFont val="Calibri"/>
        <family val="2"/>
        <scheme val="minor"/>
      </rPr>
      <t>Activite 1.1.3</t>
    </r>
    <r>
      <rPr>
        <sz val="12"/>
        <color theme="1"/>
        <rFont val="Calibri"/>
        <family val="2"/>
        <scheme val="minor"/>
      </rPr>
      <t>:  Soutenir la mise en œuvre des engagements des Nations Unies avec la partie nationale dans le domaine de l'état de droit et des institutions sécuritaires</t>
    </r>
  </si>
  <si>
    <t>Projet: Appui stratégique à la réforme du secteur de la sécurité, Phase II</t>
  </si>
  <si>
    <t>Faciliter les discussions politiques de haut niveau pour un consensus autour des réformes.</t>
  </si>
  <si>
    <t xml:space="preserve"> Soutenir les instances de prise de décision, issues de l’architecture nationale de la sécurité</t>
  </si>
  <si>
    <t>Soutenir la mise en œuvre des engagements des Nations Unies avec la partie nationale dans le domaine de l'état de droit et des institutions sécuritaires</t>
  </si>
  <si>
    <t>Soutenir les coordinations et consultations nationales pour un processus inclusif et participatif ainsi que partenariales pour accompagner la mise en œuvre de la vision sécuritaire</t>
  </si>
  <si>
    <t>Chargé de projet (SB4)    (100%)</t>
  </si>
  <si>
    <t>Coordination, Suivi-Evaluation et Gestion</t>
  </si>
  <si>
    <t>Prestations consultant</t>
  </si>
  <si>
    <t>Ateliers de travail et de validation</t>
  </si>
  <si>
    <t>Missions d'information sur le terrains</t>
  </si>
  <si>
    <t>Séances d'élaboration de la loi</t>
  </si>
  <si>
    <t>DSA du staff</t>
  </si>
  <si>
    <t>DSA pour consultations hors Ouagadougou</t>
  </si>
  <si>
    <t>Prestations du Consultant</t>
  </si>
  <si>
    <t>Ateliers de consultation</t>
  </si>
  <si>
    <t>Atelier de validation des résultats de l'étude</t>
  </si>
  <si>
    <t>Ateliers de planification</t>
  </si>
  <si>
    <t>Dialogues communautaires sur les recommandations des études de perception</t>
  </si>
  <si>
    <t>Visibility Costs</t>
  </si>
  <si>
    <t>Ateliers de revue et de capitalisation</t>
  </si>
  <si>
    <t>Ateliers d'élaboration et de validation</t>
  </si>
  <si>
    <t>Missions de suivi terrain</t>
  </si>
  <si>
    <t>Fonctionnement vehicle (Carburant, Maintenance, assurance)</t>
  </si>
  <si>
    <t xml:space="preserve">Contribution location bureau et charges </t>
  </si>
  <si>
    <t>Communication: tel &amp; internet</t>
  </si>
  <si>
    <t>Fournitures et consommables</t>
  </si>
  <si>
    <t>Comités de suivi et de coordination</t>
  </si>
  <si>
    <t>DSA staff</t>
  </si>
  <si>
    <t>Prestations consultants</t>
  </si>
  <si>
    <t>Appui technique HCDH</t>
  </si>
  <si>
    <t>Spécialiste M&amp;E 50%</t>
  </si>
  <si>
    <t>DSA Staff</t>
  </si>
  <si>
    <t>Ateliers conjoints</t>
  </si>
  <si>
    <t>Atelier de formation</t>
  </si>
  <si>
    <t>Réalisation d'une enquête expériementale</t>
  </si>
  <si>
    <t>Materiels de collecte et d'analyse des données</t>
  </si>
  <si>
    <t>Atelier de validation</t>
  </si>
  <si>
    <t>Edition du kit de sensibilisation</t>
  </si>
  <si>
    <t>Atelier</t>
  </si>
  <si>
    <t>Ateliers de formation</t>
  </si>
  <si>
    <t>Rencontres trimestrielles</t>
  </si>
  <si>
    <t>Rencontres semestrielles</t>
  </si>
  <si>
    <t>Prestations Consultant</t>
  </si>
  <si>
    <t>Atelier d'élaboration</t>
  </si>
  <si>
    <t>Ateliers formation</t>
  </si>
  <si>
    <t>Atelier / rencontres régionales</t>
  </si>
  <si>
    <t>Atelier / fora</t>
  </si>
  <si>
    <r>
      <rPr>
        <b/>
        <sz val="12"/>
        <rFont val="Calibri"/>
        <family val="2"/>
      </rPr>
      <t>Activité 2.1.2</t>
    </r>
    <r>
      <rPr>
        <sz val="12"/>
        <rFont val="Calibri"/>
        <family val="2"/>
      </rPr>
      <t xml:space="preserve"> : Validation des résultats, partages des bonnes pratiques et élaboration de plan d’action pour une prise en compte effective du genre et de l’égalité des chances au sein des FDS (Basé sur l’étude)</t>
    </r>
  </si>
  <si>
    <t>Coordonnateur régional P4 (5%)</t>
  </si>
  <si>
    <t>Coordonnateur du bureau (P3) (5%)</t>
  </si>
  <si>
    <t xml:space="preserve"> Expert Anti Corruption  (5%) </t>
  </si>
  <si>
    <t xml:space="preserve"> Expert Justice (5%) </t>
  </si>
  <si>
    <r>
      <rPr>
        <b/>
        <sz val="12"/>
        <color theme="1"/>
        <rFont val="Calibri"/>
        <family val="2"/>
        <scheme val="minor"/>
      </rPr>
      <t>Activite 1.1.4</t>
    </r>
    <r>
      <rPr>
        <sz val="12"/>
        <color theme="1"/>
        <rFont val="Calibri"/>
        <family val="2"/>
        <scheme val="minor"/>
      </rPr>
      <t>: Assurer un soutien aux coordinations et consultations nationales, y inclus avec le monde universitaire et les Think-tanks et les organisations féminines et de jeunesse pour un processus inclusif et participatif ainsi que partenariale pour accompagner la mise en œuvre de la vision sécuritaire.</t>
    </r>
  </si>
  <si>
    <t>Les mécanismes et structures de mise en œuvre de la réforme du secteur de sécurité sont finalisés et validés, à travers le conseil politique et stratégique au Chef de l’État et aux ministères concernés, ainsi qu’aux acteurs clés, étatiques et non-étatiques, en matière de prise de décision dans le champ de la sécurité nationale, de réforme et gouvernance sécuritaire,  de justice et de redevabilité</t>
  </si>
  <si>
    <r>
      <rPr>
        <b/>
        <sz val="12"/>
        <color theme="1"/>
        <rFont val="Calibri"/>
        <family val="2"/>
        <scheme val="minor"/>
      </rPr>
      <t>Activite 1.2.1:</t>
    </r>
    <r>
      <rPr>
        <sz val="12"/>
        <color theme="1"/>
        <rFont val="Calibri"/>
        <family val="2"/>
        <scheme val="minor"/>
      </rPr>
      <t xml:space="preserve"> Finaliser et mettre en œuvre la stratégie de la sécurité nationale</t>
    </r>
  </si>
  <si>
    <r>
      <rPr>
        <b/>
        <sz val="12"/>
        <color theme="1"/>
        <rFont val="Calibri"/>
        <family val="2"/>
        <scheme val="minor"/>
      </rPr>
      <t>Activite 1.2.3:</t>
    </r>
    <r>
      <rPr>
        <sz val="12"/>
        <color theme="1"/>
        <rFont val="Calibri"/>
        <family val="2"/>
        <scheme val="minor"/>
      </rPr>
      <t xml:space="preserve">  Finaliser et faire adopter la nouvelle loi sur l’architecture de la sécurité nationale en politiques et stratégie sectorielle.</t>
    </r>
  </si>
  <si>
    <r>
      <rPr>
        <b/>
        <sz val="12"/>
        <rFont val="Calibri"/>
        <family val="2"/>
      </rPr>
      <t>Activité 1.3.1</t>
    </r>
    <r>
      <rPr>
        <sz val="12"/>
        <rFont val="Calibri"/>
        <family val="2"/>
      </rPr>
      <t xml:space="preserve"> : Elaboration d’un plan d’action et définition d’un mécanisme de suivi et évaluation du plan d’action de la CONACP</t>
    </r>
  </si>
  <si>
    <r>
      <rPr>
        <b/>
        <sz val="12"/>
        <rFont val="Calibri"/>
        <family val="2"/>
      </rPr>
      <t>Activté 1.3.2</t>
    </r>
    <r>
      <rPr>
        <sz val="12"/>
        <rFont val="Calibri"/>
        <family val="2"/>
      </rPr>
      <t xml:space="preserve"> : Formation des acteurs du transport routier, des représentants d’organisations de la société civile et des agents chargés du contrôle routier sur les nouvelles orientations nationales en matière de lutte contre les rackets, les tracasseries routières et du harcèlement.</t>
    </r>
  </si>
  <si>
    <r>
      <rPr>
        <b/>
        <sz val="12"/>
        <rFont val="Calibri"/>
        <family val="2"/>
      </rPr>
      <t>Activité 1.4.2</t>
    </r>
    <r>
      <rPr>
        <sz val="12"/>
        <rFont val="Calibri"/>
        <family val="2"/>
      </rPr>
      <t xml:space="preserve"> : Atelier sur l’application des Principes de Bangalore sur la déontologie judiciaire au Burkina Faso, à la lumière des nouvelles directives internationales et des bonnes pratiques en matière d’intégrité judiciaire, notamment portant sur les questions de genre et l’utilisation des réseaux sociaux.</t>
    </r>
  </si>
  <si>
    <t>Un plan d’action pour une prise en compte effective du genre et de l’égalité des chances au sein des FDS est élaboré et mis en œuvre.</t>
  </si>
  <si>
    <t>Bureautique, divers</t>
  </si>
  <si>
    <t xml:space="preserve"> Bureautique, divers</t>
  </si>
  <si>
    <r>
      <rPr>
        <b/>
        <sz val="12"/>
        <rFont val="Calibri"/>
        <family val="2"/>
      </rPr>
      <t>Activité 2.2.2</t>
    </r>
    <r>
      <rPr>
        <sz val="12"/>
        <rFont val="Calibri"/>
        <family val="2"/>
      </rPr>
      <t xml:space="preserve"> : Développement de Standardized Operation Procedures sur les VBG pour les premiers intervenants et les acteurs du système judiciaire pénal.</t>
    </r>
  </si>
  <si>
    <t>Les problèmes de sécurités et les solutions sont conjointement identifiés par les populations locales et les FDS en tiennent compte dans leurs plans locaux et nationaux de sécurité.</t>
  </si>
  <si>
    <r>
      <rPr>
        <b/>
        <sz val="12"/>
        <rFont val="Calibri"/>
        <family val="2"/>
        <scheme val="minor"/>
      </rPr>
      <t>Activité 3.1.1</t>
    </r>
    <r>
      <rPr>
        <sz val="12"/>
        <rFont val="Calibri"/>
        <family val="2"/>
        <scheme val="minor"/>
      </rPr>
      <t xml:space="preserve"> :  Elaboration d'une étude sur l'intégration des Plans locaux de sécurité aux plans communaux de développement.</t>
    </r>
  </si>
  <si>
    <r>
      <rPr>
        <b/>
        <sz val="12"/>
        <rFont val="Calibri"/>
        <family val="2"/>
        <scheme val="minor"/>
      </rPr>
      <t>Activité 3.1.3</t>
    </r>
    <r>
      <rPr>
        <sz val="12"/>
        <rFont val="Calibri"/>
        <family val="2"/>
        <scheme val="minor"/>
      </rPr>
      <t xml:space="preserve"> : Appui à la planification au niveau local et national des opérations et services de sécurité tout en tenant compte des dialogues avec les populations locales et des études de perception.</t>
    </r>
  </si>
  <si>
    <t>Appui au niveau régional à la mise en place de cadres de dialogue entre FDS, les acteurs de la chaîne pénale, communautés, société civile y compris les organisations des femmes et des jeunes</t>
  </si>
  <si>
    <r>
      <rPr>
        <b/>
        <sz val="12"/>
        <color rgb="FF000000"/>
        <rFont val="Calibri"/>
        <family val="2"/>
      </rPr>
      <t>Activité 3.2.3</t>
    </r>
    <r>
      <rPr>
        <sz val="12"/>
        <color rgb="FF000000"/>
        <rFont val="Calibri"/>
        <family val="2"/>
      </rPr>
      <t xml:space="preserve"> : Organisation d’une rencontre régionale entre les FDS et les acteurs de la chaîne pénale sur les complémentarités de leurs mandats et les rôles respectifs (mécanismes, institutions, rôles, sécurité dans la zone).</t>
    </r>
  </si>
  <si>
    <r>
      <rPr>
        <b/>
        <sz val="12"/>
        <rFont val="Calibri"/>
        <family val="2"/>
      </rPr>
      <t>Activité 3.2.4</t>
    </r>
    <r>
      <rPr>
        <sz val="12"/>
        <rFont val="Calibri"/>
        <family val="2"/>
      </rPr>
      <t xml:space="preserve"> : Appui institutionnel à la mise en place des mécanismes et cadres de dialogue régionaux dans le cadre de d’une meilleure orientation des service de sécurité au niveau local.</t>
    </r>
  </si>
  <si>
    <t>PNUD : CTP P4 (25%)</t>
  </si>
  <si>
    <t>Première tranche 70%</t>
  </si>
  <si>
    <t>Deuxième tranche 30%</t>
  </si>
  <si>
    <t>Un dispositif de prévention contre le harcèlement sexuel au sein des FDS et un mécanisme de lutte contre les VBG sont mis en place</t>
  </si>
  <si>
    <t xml:space="preserve"> Assistant Administratif  et finacier (SB3) à 50% </t>
  </si>
  <si>
    <t>Atelier de cadrage</t>
  </si>
  <si>
    <r>
      <rPr>
        <b/>
        <sz val="12"/>
        <rFont val="Calibri"/>
        <family val="2"/>
      </rPr>
      <t>Activité 2.1.1</t>
    </r>
    <r>
      <rPr>
        <sz val="12"/>
        <rFont val="Calibri"/>
        <family val="2"/>
      </rPr>
      <t xml:space="preserve"> : Etude conjointe sur les conditions de recrutement et de progression des femmes au sein de FDS.</t>
    </r>
  </si>
  <si>
    <t xml:space="preserve">Ateliers validation et vulgarisation </t>
  </si>
  <si>
    <t xml:space="preserve">Edition </t>
  </si>
  <si>
    <r>
      <rPr>
        <b/>
        <sz val="12"/>
        <rFont val="Calibri"/>
        <family val="2"/>
      </rPr>
      <t>Activité 1.3.3</t>
    </r>
    <r>
      <rPr>
        <sz val="12"/>
        <rFont val="Calibri"/>
        <family val="2"/>
      </rPr>
      <t xml:space="preserve"> : Appui à l'assemblée nationale pour le contrôle budgétaire du secteur de défence et de la sécurité sensible au genre</t>
    </r>
  </si>
  <si>
    <r>
      <rPr>
        <b/>
        <sz val="12"/>
        <rFont val="Calibri"/>
        <family val="2"/>
        <scheme val="minor"/>
      </rPr>
      <t>Activite 1.2.2</t>
    </r>
    <r>
      <rPr>
        <sz val="12"/>
        <rFont val="Calibri"/>
        <family val="2"/>
        <scheme val="minor"/>
      </rPr>
      <t>: Finaliser et mettre en œuvre les stratégies sectorielles (défense, sécurité, justice…) et thématiques (lutte contre le terrorisme, etc.)</t>
    </r>
  </si>
  <si>
    <r>
      <rPr>
        <b/>
        <sz val="12"/>
        <rFont val="Calibri"/>
        <family val="2"/>
      </rPr>
      <t>Activité 3.2.1</t>
    </r>
    <r>
      <rPr>
        <sz val="12"/>
        <rFont val="Calibri"/>
        <family val="2"/>
      </rPr>
      <t xml:space="preserve"> : Production d’un kit de sensibilisation sur les rôles, mandats des FDS et acteurs de la chaine pénale ainsi que les voies de recours, signalement et référencement et le plaidoyer pour les organisations de la société civile, les organisations des femmes et des jeunes et les radios communautaires.</t>
    </r>
  </si>
  <si>
    <t>Ateliers</t>
  </si>
  <si>
    <t>Résultat 1 : Les acteurs nationaux, y compris ceux au plus haut niveau de l’Etat, sont outillés pour piloter et assurer la mise en œuvre de la politique de sécurité nationale a travers l’élaboration  et le suivi des stratégies sectorielles et thématiques en matière de sécurité nationale et de justice.</t>
  </si>
  <si>
    <r>
      <rPr>
        <b/>
        <sz val="12"/>
        <rFont val="Calibri"/>
        <family val="2"/>
      </rPr>
      <t>Activité 2.2.1</t>
    </r>
    <r>
      <rPr>
        <sz val="12"/>
        <rFont val="Calibri"/>
        <family val="2"/>
      </rPr>
      <t xml:space="preserve"> : Etude conjointe sur le genre, le terrorisme et la criminalité organisée (rôle des hommes / femmes / jeunes comme victimes / complices / coupables, rôle de la masculinité / féminité) au Burkina Faso.</t>
    </r>
  </si>
  <si>
    <r>
      <rPr>
        <b/>
        <sz val="12"/>
        <rFont val="Calibri"/>
        <family val="2"/>
        <scheme val="minor"/>
      </rPr>
      <t>Activité 3.1.2</t>
    </r>
    <r>
      <rPr>
        <sz val="12"/>
        <rFont val="Calibri"/>
        <family val="2"/>
        <scheme val="minor"/>
      </rPr>
      <t xml:space="preserve"> : Appui technique et matériels aux services de statistiques et d’analyses des forces de sécurité pour réaliser des enquêtes de perception</t>
    </r>
  </si>
  <si>
    <r>
      <rPr>
        <b/>
        <sz val="12"/>
        <rFont val="Calibri"/>
        <family val="2"/>
      </rPr>
      <t>Activité 3.2.2</t>
    </r>
    <r>
      <rPr>
        <sz val="12"/>
        <rFont val="Calibri"/>
        <family val="2"/>
      </rPr>
      <t xml:space="preserve"> : Formation sur le kit, les rôles, mandats des FDS et acteurs de la chaine pénale ainsi que les voies de recours, signalement et référencement et le plaidoyer pour les organisations de la société civile, les organisations des femmes et des jeunes et les radios communautaires ».</t>
    </r>
  </si>
  <si>
    <r>
      <rPr>
        <b/>
        <sz val="12"/>
        <rFont val="Calibri"/>
        <family val="2"/>
      </rPr>
      <t>Activité 1.4.1</t>
    </r>
    <r>
      <rPr>
        <sz val="12"/>
        <rFont val="Calibri"/>
        <family val="2"/>
      </rPr>
      <t>: Atelier conjoint pole judiciaire spécialisé, inspection générale des services judiciaires, FDS, administration pénitentiaire, et société civile sur la prise en charge et les conditions de détention des prévenus dans les affaires de terrorisme, y compris les femmes et les enfants.</t>
    </r>
  </si>
  <si>
    <r>
      <rPr>
        <b/>
        <sz val="12"/>
        <rFont val="Calibri"/>
        <family val="2"/>
      </rPr>
      <t>Activité 1.4.3</t>
    </r>
    <r>
      <rPr>
        <sz val="12"/>
        <rFont val="Calibri"/>
        <family val="2"/>
      </rPr>
      <t xml:space="preserve"> : Atelier de formation des acteurs de la chaine pénale (y compris justice militaire) et les FDS sur le respect des droits humains dans la lutte contre le terrorisme et la criminalité organisée </t>
    </r>
  </si>
  <si>
    <r>
      <rPr>
        <b/>
        <sz val="12"/>
        <rFont val="Calibri"/>
        <family val="2"/>
      </rPr>
      <t xml:space="preserve">Activite 1.4.4 </t>
    </r>
    <r>
      <rPr>
        <sz val="12"/>
        <rFont val="Calibri"/>
        <family val="2"/>
      </rPr>
      <t>: Atelier de formation sur la protection des victimes et témoins dans les enquêtes de criminalité organisée et de terrorisme et dans les enquêtes visant des membres des FDS.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</si>
</sst>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 numFmtId="167" formatCode="_-* #,##0\ _F_G_-;\-* #,##0\ _F_G_-;_-* &quot;-&quot;\ _F_G_-;_-@_-"/>
    <numFmt numFmtId="168" formatCode="_-* #,##0.00\ _F_G_-;\-* #,##0.00\ _F_G_-;_-* &quot;-&quot;\ _F_G_-;_-@_-"/>
    <numFmt numFmtId="169" formatCode="_-* #,##0.00\ _C_F_A_-;\-* #,##0.00\ _C_F_A_-;_-* &quot;-&quot;??\ _C_F_A_-;_-@_-"/>
    <numFmt numFmtId="170" formatCode="_-* #,##0_-;\-* #,##0_-;_-*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4"/>
      <color theme="1"/>
      <name val="Calibri"/>
      <family val="2"/>
      <scheme val="minor"/>
    </font>
    <font>
      <sz val="12"/>
      <color rgb="FF0070C0"/>
      <name val="Calibri"/>
      <family val="2"/>
      <scheme val="minor"/>
    </font>
    <font>
      <b/>
      <sz val="12"/>
      <color rgb="FF0070C0"/>
      <name val="Calibri"/>
      <family val="2"/>
      <scheme val="minor"/>
    </font>
    <font>
      <sz val="12"/>
      <color rgb="FFFF0000"/>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E7E6E6"/>
        <bgColor rgb="FF000000"/>
      </patternFill>
    </fill>
    <fill>
      <patternFill patternType="solid">
        <fgColor rgb="FFFFFFFF"/>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FF00"/>
        <bgColor rgb="FF000000"/>
      </patternFill>
    </fill>
  </fills>
  <borders count="6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2">
    <xf numFmtId="0" fontId="0" fillId="0" borderId="0"/>
    <xf numFmtId="165"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573">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2" fillId="3" borderId="0" xfId="0" applyFont="1" applyFill="1" applyBorder="1" applyAlignment="1" applyProtection="1">
      <alignment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4"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3" fillId="3"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5"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5" fontId="2" fillId="2" borderId="37"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0" fillId="7" borderId="18" xfId="0" applyFont="1" applyFill="1" applyBorder="1" applyAlignment="1">
      <alignment wrapText="1"/>
    </xf>
    <xf numFmtId="165" fontId="2" fillId="2" borderId="3" xfId="1" applyFont="1" applyFill="1" applyBorder="1" applyAlignment="1" applyProtection="1">
      <alignment horizontal="center" vertical="center" wrapText="1"/>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2" fillId="4" borderId="40" xfId="0" applyFont="1" applyFill="1" applyBorder="1" applyAlignment="1" applyProtection="1">
      <alignment vertical="center" wrapText="1"/>
    </xf>
    <xf numFmtId="165" fontId="2" fillId="2" borderId="9" xfId="1" applyFont="1" applyFill="1" applyBorder="1" applyAlignment="1" applyProtection="1">
      <alignment horizontal="center" vertical="center" wrapText="1"/>
    </xf>
    <xf numFmtId="0" fontId="2" fillId="2" borderId="48" xfId="0" applyFont="1" applyFill="1" applyBorder="1" applyAlignment="1">
      <alignment horizontal="center" wrapText="1"/>
    </xf>
    <xf numFmtId="0" fontId="2" fillId="2" borderId="36" xfId="0" applyFont="1" applyFill="1" applyBorder="1" applyAlignment="1">
      <alignment horizontal="center" wrapText="1"/>
    </xf>
    <xf numFmtId="165" fontId="2" fillId="2" borderId="9" xfId="0" applyNumberFormat="1" applyFont="1" applyFill="1" applyBorder="1" applyAlignment="1">
      <alignment horizontal="center" wrapText="1"/>
    </xf>
    <xf numFmtId="0" fontId="19" fillId="0" borderId="0" xfId="0" applyFont="1" applyBorder="1" applyAlignment="1">
      <alignment wrapText="1"/>
    </xf>
    <xf numFmtId="0" fontId="10" fillId="7" borderId="16" xfId="0" applyFont="1" applyFill="1" applyBorder="1" applyAlignment="1">
      <alignment wrapText="1"/>
    </xf>
    <xf numFmtId="0" fontId="10" fillId="7" borderId="19" xfId="0" applyFont="1" applyFill="1" applyBorder="1" applyAlignment="1">
      <alignment wrapText="1"/>
    </xf>
    <xf numFmtId="165"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5" fontId="2" fillId="2" borderId="31" xfId="0" applyNumberFormat="1" applyFont="1" applyFill="1" applyBorder="1" applyAlignment="1">
      <alignment horizontal="center" wrapText="1"/>
    </xf>
    <xf numFmtId="165"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Border="1" applyAlignment="1">
      <alignment wrapText="1"/>
    </xf>
    <xf numFmtId="165" fontId="0" fillId="0" borderId="0" xfId="1" applyFont="1" applyFill="1" applyBorder="1" applyAlignment="1">
      <alignment wrapText="1"/>
    </xf>
    <xf numFmtId="165" fontId="14" fillId="0" borderId="0" xfId="1" applyFont="1" applyBorder="1" applyAlignment="1">
      <alignment wrapText="1"/>
    </xf>
    <xf numFmtId="165" fontId="10" fillId="7" borderId="16" xfId="1" applyFont="1" applyFill="1" applyBorder="1" applyAlignment="1">
      <alignment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165" fontId="0" fillId="2" borderId="17" xfId="1" applyFont="1" applyFill="1" applyBorder="1" applyAlignment="1">
      <alignment vertical="center" wrapText="1"/>
    </xf>
    <xf numFmtId="165" fontId="2" fillId="2" borderId="5" xfId="1" applyFont="1" applyFill="1" applyBorder="1" applyAlignment="1" applyProtection="1">
      <alignment horizontal="center" vertical="center" wrapText="1"/>
    </xf>
    <xf numFmtId="0" fontId="2" fillId="4" borderId="41"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0" fontId="0" fillId="0" borderId="0" xfId="0"/>
    <xf numFmtId="168" fontId="5" fillId="0" borderId="0" xfId="3" applyNumberFormat="1" applyFont="1" applyFill="1"/>
    <xf numFmtId="0" fontId="0" fillId="0" borderId="0" xfId="0" applyFill="1"/>
    <xf numFmtId="9" fontId="21" fillId="0" borderId="6" xfId="2" applyFont="1" applyFill="1" applyBorder="1" applyAlignment="1">
      <alignment vertical="center" wrapText="1"/>
    </xf>
    <xf numFmtId="168" fontId="23" fillId="0" borderId="6" xfId="3" applyNumberFormat="1" applyFont="1" applyFill="1" applyBorder="1" applyAlignment="1">
      <alignment horizontal="center" vertical="center" wrapText="1"/>
    </xf>
    <xf numFmtId="167" fontId="22" fillId="0" borderId="6" xfId="3" applyNumberFormat="1" applyFont="1" applyFill="1" applyBorder="1" applyAlignment="1">
      <alignment horizontal="center" vertical="center" wrapText="1"/>
    </xf>
    <xf numFmtId="168" fontId="22" fillId="0" borderId="6" xfId="3" applyNumberFormat="1" applyFont="1" applyFill="1" applyBorder="1" applyAlignment="1">
      <alignment horizontal="center" vertical="center" wrapText="1"/>
    </xf>
    <xf numFmtId="0" fontId="24" fillId="0" borderId="6" xfId="0" applyFont="1" applyFill="1" applyBorder="1" applyAlignment="1">
      <alignment vertical="center" wrapText="1"/>
    </xf>
    <xf numFmtId="0" fontId="24" fillId="0" borderId="6" xfId="0" applyFont="1" applyFill="1" applyBorder="1" applyAlignment="1">
      <alignment horizontal="left" vertical="center" wrapText="1"/>
    </xf>
    <xf numFmtId="167" fontId="22" fillId="0" borderId="6" xfId="0" applyNumberFormat="1" applyFont="1" applyFill="1" applyBorder="1" applyAlignment="1">
      <alignment horizontal="center"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7" xfId="0" applyFont="1" applyFill="1" applyBorder="1" applyAlignment="1" applyProtection="1">
      <alignment vertical="center" wrapText="1"/>
    </xf>
    <xf numFmtId="0" fontId="8" fillId="2" borderId="7" xfId="0" applyFont="1" applyFill="1" applyBorder="1" applyAlignment="1" applyProtection="1">
      <alignment vertical="center" wrapText="1"/>
    </xf>
    <xf numFmtId="165" fontId="2" fillId="2" borderId="3" xfId="0" applyNumberFormat="1" applyFont="1" applyFill="1" applyBorder="1" applyAlignment="1">
      <alignment horizontal="center" wrapText="1"/>
    </xf>
    <xf numFmtId="165" fontId="2" fillId="2" borderId="36"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1" fillId="2" borderId="37" xfId="0" applyNumberFormat="1" applyFont="1" applyFill="1" applyBorder="1" applyAlignment="1">
      <alignment wrapText="1"/>
    </xf>
    <xf numFmtId="0" fontId="8" fillId="2" borderId="50" xfId="0" applyFont="1" applyFill="1" applyBorder="1" applyAlignment="1" applyProtection="1">
      <alignment vertical="center" wrapText="1"/>
    </xf>
    <xf numFmtId="0" fontId="8" fillId="2" borderId="51" xfId="0" applyFont="1" applyFill="1" applyBorder="1" applyAlignment="1" applyProtection="1">
      <alignment vertical="center" wrapText="1"/>
    </xf>
    <xf numFmtId="0" fontId="8" fillId="2" borderId="51" xfId="0" applyFont="1" applyFill="1" applyBorder="1" applyAlignment="1" applyProtection="1">
      <alignment vertical="center" wrapText="1"/>
      <protection locked="0"/>
    </xf>
    <xf numFmtId="167" fontId="23" fillId="0" borderId="6" xfId="3" applyNumberFormat="1" applyFont="1" applyFill="1" applyBorder="1" applyAlignment="1">
      <alignment horizontal="center" vertical="center" wrapText="1"/>
    </xf>
    <xf numFmtId="3" fontId="22" fillId="0" borderId="6" xfId="0" applyNumberFormat="1" applyFont="1" applyFill="1" applyBorder="1" applyAlignment="1">
      <alignment vertical="center" wrapText="1"/>
    </xf>
    <xf numFmtId="0" fontId="24" fillId="0" borderId="6" xfId="0" applyFont="1" applyFill="1" applyBorder="1" applyAlignment="1">
      <alignment horizontal="justify" vertical="center" wrapText="1"/>
    </xf>
    <xf numFmtId="167" fontId="22" fillId="0" borderId="6" xfId="3" applyNumberFormat="1" applyFont="1" applyFill="1" applyBorder="1" applyAlignment="1">
      <alignment vertical="center" wrapText="1"/>
    </xf>
    <xf numFmtId="165" fontId="2" fillId="2" borderId="14" xfId="1" applyNumberFormat="1" applyFont="1" applyFill="1" applyBorder="1" applyAlignment="1">
      <alignment wrapText="1"/>
    </xf>
    <xf numFmtId="165" fontId="2" fillId="2" borderId="15" xfId="1" applyNumberFormat="1" applyFont="1" applyFill="1" applyBorder="1" applyAlignment="1">
      <alignment wrapText="1"/>
    </xf>
    <xf numFmtId="165" fontId="2" fillId="2" borderId="44" xfId="1" applyFont="1" applyFill="1" applyBorder="1" applyAlignment="1" applyProtection="1">
      <alignment wrapText="1"/>
    </xf>
    <xf numFmtId="165" fontId="2" fillId="2" borderId="3" xfId="1" applyNumberFormat="1" applyFont="1" applyFill="1" applyBorder="1" applyAlignment="1">
      <alignment wrapText="1"/>
    </xf>
    <xf numFmtId="165" fontId="2" fillId="2" borderId="13" xfId="1" applyNumberFormat="1" applyFont="1" applyFill="1" applyBorder="1" applyAlignment="1">
      <alignment wrapText="1"/>
    </xf>
    <xf numFmtId="0" fontId="2" fillId="2" borderId="56" xfId="0" applyFont="1" applyFill="1" applyBorder="1" applyAlignment="1">
      <alignment horizontal="center" wrapText="1"/>
    </xf>
    <xf numFmtId="0" fontId="2" fillId="2" borderId="50" xfId="0" applyFont="1" applyFill="1" applyBorder="1" applyAlignment="1">
      <alignment horizontal="center" wrapText="1"/>
    </xf>
    <xf numFmtId="165" fontId="2" fillId="2" borderId="28"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165" fontId="2" fillId="2" borderId="8" xfId="0" applyNumberFormat="1" applyFont="1" applyFill="1" applyBorder="1" applyAlignment="1">
      <alignment horizontal="center" wrapText="1"/>
    </xf>
    <xf numFmtId="165" fontId="1" fillId="2" borderId="10" xfId="0" applyNumberFormat="1" applyFont="1" applyFill="1" applyBorder="1" applyAlignment="1">
      <alignment wrapText="1"/>
    </xf>
    <xf numFmtId="165" fontId="2" fillId="2" borderId="13" xfId="0" applyNumberFormat="1" applyFont="1" applyFill="1" applyBorder="1" applyAlignment="1">
      <alignment horizontal="center" wrapText="1"/>
    </xf>
    <xf numFmtId="0" fontId="26" fillId="0" borderId="0" xfId="0" applyFont="1"/>
    <xf numFmtId="43" fontId="0" fillId="0" borderId="0" xfId="10" applyFont="1" applyBorder="1" applyAlignment="1">
      <alignment wrapText="1"/>
    </xf>
    <xf numFmtId="165" fontId="1" fillId="0" borderId="3" xfId="1" applyNumberFormat="1" applyFont="1" applyBorder="1" applyAlignment="1" applyProtection="1">
      <alignment horizontal="left" vertical="center"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5" fontId="0" fillId="0" borderId="0" xfId="0" applyNumberFormat="1" applyFont="1" applyBorder="1" applyAlignment="1">
      <alignment wrapText="1"/>
    </xf>
    <xf numFmtId="165" fontId="1" fillId="0" borderId="3" xfId="1" applyNumberFormat="1" applyFont="1" applyBorder="1" applyAlignment="1" applyProtection="1">
      <alignment horizontal="center" vertical="center" wrapText="1"/>
      <protection locked="0"/>
    </xf>
    <xf numFmtId="43" fontId="0" fillId="0" borderId="0" xfId="0" applyNumberFormat="1" applyFont="1" applyBorder="1" applyAlignment="1">
      <alignment wrapText="1"/>
    </xf>
    <xf numFmtId="165" fontId="1" fillId="0" borderId="3" xfId="1" applyFont="1" applyBorder="1" applyAlignment="1" applyProtection="1">
      <alignment horizontal="center" vertical="center" wrapText="1"/>
      <protection locked="0"/>
    </xf>
    <xf numFmtId="165" fontId="1" fillId="0" borderId="3" xfId="1" applyFont="1" applyFill="1" applyBorder="1" applyAlignment="1" applyProtection="1">
      <alignment vertical="center" wrapText="1"/>
      <protection locked="0"/>
    </xf>
    <xf numFmtId="0" fontId="27" fillId="0" borderId="3" xfId="1" applyNumberFormat="1" applyFont="1" applyFill="1" applyBorder="1" applyAlignment="1" applyProtection="1">
      <alignment horizontal="center" vertical="center" wrapText="1"/>
    </xf>
    <xf numFmtId="0" fontId="28" fillId="0" borderId="0" xfId="1" applyNumberFormat="1" applyFont="1" applyFill="1" applyBorder="1" applyAlignment="1" applyProtection="1">
      <alignment horizontal="center" vertical="center" wrapText="1"/>
    </xf>
    <xf numFmtId="0" fontId="28" fillId="0" borderId="0" xfId="1" applyNumberFormat="1" applyFont="1" applyFill="1" applyBorder="1" applyAlignment="1" applyProtection="1">
      <alignment vertical="center" wrapText="1"/>
    </xf>
    <xf numFmtId="0" fontId="27" fillId="0" borderId="0"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wrapText="1"/>
      <protection locked="0"/>
    </xf>
    <xf numFmtId="9" fontId="0" fillId="0" borderId="0" xfId="2" applyFont="1"/>
    <xf numFmtId="167" fontId="0" fillId="0" borderId="0" xfId="0" applyNumberFormat="1"/>
    <xf numFmtId="9" fontId="0" fillId="0" borderId="0" xfId="2" applyNumberFormat="1" applyFont="1"/>
    <xf numFmtId="0" fontId="21" fillId="2" borderId="6" xfId="0" applyFont="1" applyFill="1" applyBorder="1" applyAlignment="1">
      <alignment vertical="center" wrapText="1"/>
    </xf>
    <xf numFmtId="167" fontId="21" fillId="2" borderId="6" xfId="3" applyFont="1" applyFill="1" applyBorder="1" applyAlignment="1">
      <alignment vertical="center" wrapText="1"/>
    </xf>
    <xf numFmtId="167" fontId="21" fillId="2" borderId="6" xfId="3" applyFont="1" applyFill="1" applyBorder="1" applyAlignment="1">
      <alignment horizontal="center" vertical="center" wrapText="1"/>
    </xf>
    <xf numFmtId="3" fontId="22" fillId="2" borderId="6" xfId="0" applyNumberFormat="1" applyFont="1" applyFill="1" applyBorder="1" applyAlignment="1">
      <alignment horizontal="center" vertical="center" wrapText="1"/>
    </xf>
    <xf numFmtId="3" fontId="22" fillId="2" borderId="6" xfId="0" applyNumberFormat="1" applyFont="1" applyFill="1" applyBorder="1" applyAlignment="1">
      <alignment horizontal="left" vertical="center" wrapText="1"/>
    </xf>
    <xf numFmtId="3" fontId="22" fillId="2" borderId="6" xfId="0" applyNumberFormat="1" applyFont="1" applyFill="1" applyBorder="1" applyAlignment="1">
      <alignment vertical="center" wrapText="1"/>
    </xf>
    <xf numFmtId="0" fontId="22" fillId="2" borderId="6" xfId="0" applyNumberFormat="1" applyFont="1" applyFill="1" applyBorder="1" applyAlignment="1">
      <alignment horizontal="center" vertical="center" wrapText="1"/>
    </xf>
    <xf numFmtId="167" fontId="25" fillId="2" borderId="6" xfId="3" applyNumberFormat="1" applyFont="1" applyFill="1" applyBorder="1" applyAlignment="1">
      <alignment horizontal="center" vertical="center" wrapText="1"/>
    </xf>
    <xf numFmtId="9" fontId="21" fillId="2" borderId="6" xfId="2" applyFont="1" applyFill="1" applyBorder="1" applyAlignment="1">
      <alignment vertical="center" wrapText="1"/>
    </xf>
    <xf numFmtId="167" fontId="23" fillId="2" borderId="6" xfId="3" applyNumberFormat="1" applyFont="1" applyFill="1" applyBorder="1" applyAlignment="1">
      <alignment horizontal="center" vertical="center" wrapText="1"/>
    </xf>
    <xf numFmtId="167" fontId="25" fillId="2" borderId="6" xfId="3" applyNumberFormat="1" applyFont="1" applyFill="1" applyBorder="1" applyAlignment="1">
      <alignment vertical="center" wrapText="1"/>
    </xf>
    <xf numFmtId="168" fontId="25" fillId="2" borderId="6" xfId="3" applyNumberFormat="1" applyFont="1" applyFill="1" applyBorder="1" applyAlignment="1">
      <alignment vertical="center" wrapText="1"/>
    </xf>
    <xf numFmtId="167" fontId="21"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1"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1" fillId="2" borderId="6" xfId="0" applyNumberFormat="1" applyFont="1" applyFill="1" applyBorder="1" applyAlignment="1">
      <alignment vertical="center" wrapText="1"/>
    </xf>
    <xf numFmtId="9" fontId="5" fillId="0" borderId="0" xfId="2" applyFont="1" applyFill="1"/>
    <xf numFmtId="0" fontId="2" fillId="2" borderId="24" xfId="0" applyFont="1" applyFill="1" applyBorder="1" applyAlignment="1">
      <alignment horizontal="right" wrapText="1"/>
    </xf>
    <xf numFmtId="0" fontId="28" fillId="2" borderId="3" xfId="0" applyFont="1" applyFill="1" applyBorder="1" applyAlignment="1" applyProtection="1">
      <alignment horizontal="center" vertical="center" wrapText="1"/>
    </xf>
    <xf numFmtId="0" fontId="2" fillId="2" borderId="51"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165" fontId="1" fillId="2" borderId="3" xfId="1" applyFont="1" applyFill="1" applyBorder="1" applyAlignment="1" applyProtection="1">
      <alignment horizontal="center" vertical="center" wrapText="1"/>
    </xf>
    <xf numFmtId="165" fontId="1" fillId="2" borderId="3" xfId="1"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165" fontId="1" fillId="3" borderId="0" xfId="1" applyFont="1" applyFill="1" applyBorder="1" applyAlignment="1" applyProtection="1">
      <alignment horizontal="center" vertical="center" wrapText="1"/>
      <protection locked="0"/>
    </xf>
    <xf numFmtId="165" fontId="1" fillId="3" borderId="3" xfId="1" applyNumberFormat="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9" fontId="1" fillId="3" borderId="0" xfId="2"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5"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166" fontId="1" fillId="0" borderId="0" xfId="0" applyNumberFormat="1" applyFont="1" applyFill="1" applyBorder="1" applyAlignment="1">
      <alignment vertical="center" wrapText="1"/>
    </xf>
    <xf numFmtId="166" fontId="1" fillId="3" borderId="0" xfId="0" applyNumberFormat="1"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0" fontId="1" fillId="7" borderId="16" xfId="0" applyFont="1" applyFill="1" applyBorder="1" applyAlignment="1">
      <alignment wrapText="1"/>
    </xf>
    <xf numFmtId="0" fontId="1" fillId="0" borderId="11" xfId="0" applyFont="1" applyBorder="1" applyAlignment="1">
      <alignment wrapText="1"/>
    </xf>
    <xf numFmtId="165" fontId="1" fillId="0" borderId="37" xfId="0" applyNumberFormat="1" applyFont="1" applyBorder="1" applyAlignment="1" applyProtection="1">
      <alignment wrapText="1"/>
      <protection locked="0"/>
    </xf>
    <xf numFmtId="0" fontId="1" fillId="0" borderId="0" xfId="0" applyFont="1" applyFill="1" applyBorder="1" applyAlignment="1">
      <alignment wrapText="1"/>
    </xf>
    <xf numFmtId="165" fontId="1" fillId="2" borderId="8" xfId="0" applyNumberFormat="1" applyFont="1" applyFill="1" applyBorder="1" applyAlignment="1">
      <alignment wrapText="1"/>
    </xf>
    <xf numFmtId="165" fontId="1" fillId="2" borderId="3" xfId="0" applyNumberFormat="1" applyFont="1" applyFill="1" applyBorder="1" applyAlignment="1">
      <alignment wrapText="1"/>
    </xf>
    <xf numFmtId="165" fontId="1" fillId="3" borderId="0" xfId="1" applyFont="1" applyFill="1" applyBorder="1" applyAlignment="1" applyProtection="1">
      <alignment vertical="center" wrapText="1"/>
    </xf>
    <xf numFmtId="0" fontId="1" fillId="2" borderId="7" xfId="0" applyFont="1" applyFill="1" applyBorder="1" applyAlignment="1" applyProtection="1">
      <alignment vertical="center" wrapText="1"/>
    </xf>
    <xf numFmtId="165" fontId="1" fillId="2" borderId="8" xfId="1" applyNumberFormat="1" applyFont="1" applyFill="1" applyBorder="1" applyAlignment="1">
      <alignment wrapText="1"/>
    </xf>
    <xf numFmtId="165" fontId="1" fillId="2" borderId="3" xfId="1" applyNumberFormat="1" applyFont="1" applyFill="1" applyBorder="1" applyAlignment="1">
      <alignment wrapText="1"/>
    </xf>
    <xf numFmtId="165" fontId="1" fillId="2" borderId="9" xfId="1" applyNumberFormat="1" applyFont="1" applyFill="1" applyBorder="1" applyAlignment="1">
      <alignment wrapText="1"/>
    </xf>
    <xf numFmtId="165"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0" fontId="2" fillId="2" borderId="26" xfId="0" applyFont="1" applyFill="1" applyBorder="1" applyAlignment="1">
      <alignment horizontal="center" wrapText="1"/>
    </xf>
    <xf numFmtId="0" fontId="2" fillId="0" borderId="0" xfId="0" applyFont="1" applyFill="1" applyBorder="1" applyAlignment="1">
      <alignment horizontal="center" vertical="center" wrapText="1"/>
    </xf>
    <xf numFmtId="0" fontId="28" fillId="0" borderId="3" xfId="1" applyNumberFormat="1" applyFont="1" applyFill="1" applyBorder="1" applyAlignment="1" applyProtection="1">
      <alignment vertical="center" wrapText="1"/>
    </xf>
    <xf numFmtId="165" fontId="27" fillId="0" borderId="3" xfId="1" applyNumberFormat="1" applyFont="1" applyBorder="1" applyAlignment="1" applyProtection="1">
      <alignment horizontal="center" vertical="center" wrapText="1"/>
      <protection locked="0"/>
    </xf>
    <xf numFmtId="165" fontId="27" fillId="2" borderId="3" xfId="1" applyNumberFormat="1" applyFont="1" applyFill="1" applyBorder="1" applyAlignment="1" applyProtection="1">
      <alignment horizontal="center" vertical="center" wrapText="1"/>
    </xf>
    <xf numFmtId="9" fontId="27" fillId="0" borderId="3" xfId="2" applyFont="1" applyBorder="1" applyAlignment="1" applyProtection="1">
      <alignment horizontal="center" vertical="center" wrapText="1"/>
      <protection locked="0"/>
    </xf>
    <xf numFmtId="0" fontId="28" fillId="6" borderId="3" xfId="0" applyFont="1" applyFill="1" applyBorder="1" applyAlignment="1" applyProtection="1">
      <alignment vertical="center" wrapText="1"/>
    </xf>
    <xf numFmtId="165" fontId="27" fillId="0" borderId="3" xfId="1" applyFont="1" applyBorder="1" applyAlignment="1" applyProtection="1">
      <alignment horizontal="center" vertical="center" wrapText="1"/>
      <protection locked="0"/>
    </xf>
    <xf numFmtId="0" fontId="28" fillId="2" borderId="3" xfId="0" applyFont="1" applyFill="1" applyBorder="1" applyAlignment="1" applyProtection="1">
      <alignment vertical="center" wrapText="1"/>
    </xf>
    <xf numFmtId="0" fontId="1" fillId="0" borderId="0" xfId="1" applyNumberFormat="1" applyFont="1" applyFill="1" applyBorder="1" applyAlignment="1" applyProtection="1">
      <alignment horizontal="center" vertical="center" wrapText="1"/>
    </xf>
    <xf numFmtId="165" fontId="1" fillId="5" borderId="3" xfId="1" applyNumberFormat="1" applyFont="1" applyFill="1" applyBorder="1" applyAlignment="1" applyProtection="1">
      <alignment horizontal="center" vertical="center" wrapText="1"/>
      <protection locked="0"/>
    </xf>
    <xf numFmtId="165" fontId="27" fillId="0" borderId="3" xfId="1" applyNumberFormat="1" applyFont="1" applyFill="1" applyBorder="1" applyAlignment="1" applyProtection="1">
      <alignment horizontal="left" vertical="center" wrapText="1"/>
      <protection locked="0"/>
    </xf>
    <xf numFmtId="165" fontId="1" fillId="0" borderId="2" xfId="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9" fontId="6" fillId="0" borderId="0" xfId="2" applyFont="1" applyFill="1" applyBorder="1" applyAlignment="1">
      <alignment wrapText="1"/>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1" fillId="6" borderId="55" xfId="0" applyFont="1" applyFill="1" applyBorder="1" applyAlignment="1" applyProtection="1">
      <alignment horizontal="center" vertical="center" wrapText="1"/>
    </xf>
    <xf numFmtId="0" fontId="0" fillId="0" borderId="0" xfId="0" applyFont="1" applyBorder="1" applyAlignment="1">
      <alignment vertical="center" wrapText="1"/>
    </xf>
    <xf numFmtId="0" fontId="27" fillId="0" borderId="3" xfId="0" applyFont="1" applyFill="1" applyBorder="1" applyAlignment="1" applyProtection="1">
      <alignment horizontal="left" vertical="center" wrapText="1"/>
      <protection locked="0"/>
    </xf>
    <xf numFmtId="49" fontId="27" fillId="0" borderId="3" xfId="1"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1" fillId="11" borderId="3" xfId="0"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29" fillId="8" borderId="3" xfId="0" applyFont="1" applyFill="1" applyBorder="1" applyAlignment="1">
      <alignment vertical="center" wrapText="1"/>
    </xf>
    <xf numFmtId="0" fontId="29" fillId="8" borderId="37" xfId="0" applyFont="1" applyFill="1" applyBorder="1" applyAlignment="1">
      <alignment vertical="center" wrapText="1"/>
    </xf>
    <xf numFmtId="0" fontId="29" fillId="0" borderId="37" xfId="0" applyFont="1" applyFill="1" applyBorder="1" applyAlignment="1">
      <alignment vertical="center" wrapText="1"/>
    </xf>
    <xf numFmtId="0" fontId="29" fillId="10" borderId="37" xfId="0" applyFont="1" applyFill="1" applyBorder="1" applyAlignment="1">
      <alignment vertical="center" wrapText="1"/>
    </xf>
    <xf numFmtId="0" fontId="29" fillId="10" borderId="3" xfId="0" applyFont="1" applyFill="1" applyBorder="1" applyAlignment="1">
      <alignment vertical="center" wrapText="1"/>
    </xf>
    <xf numFmtId="0" fontId="31" fillId="0" borderId="37" xfId="0" applyFont="1" applyFill="1" applyBorder="1" applyAlignment="1">
      <alignment vertical="center" wrapText="1"/>
    </xf>
    <xf numFmtId="0" fontId="1" fillId="3" borderId="0" xfId="0" applyFont="1" applyFill="1" applyBorder="1" applyAlignment="1" applyProtection="1">
      <alignment horizontal="left" vertical="center" wrapText="1"/>
      <protection locked="0"/>
    </xf>
    <xf numFmtId="165" fontId="0" fillId="0" borderId="0" xfId="1" applyFont="1" applyBorder="1" applyAlignment="1">
      <alignment vertical="center" wrapText="1"/>
    </xf>
    <xf numFmtId="49" fontId="27" fillId="0" borderId="3" xfId="1" applyNumberFormat="1" applyFont="1" applyBorder="1" applyAlignment="1" applyProtection="1">
      <alignment horizontal="left" vertical="center" wrapText="1"/>
      <protection locked="0"/>
    </xf>
    <xf numFmtId="0" fontId="16" fillId="0" borderId="0" xfId="0" applyFont="1" applyBorder="1" applyAlignment="1">
      <alignment vertical="center" wrapText="1"/>
    </xf>
    <xf numFmtId="49" fontId="27" fillId="3" borderId="3" xfId="1" applyNumberFormat="1" applyFont="1" applyFill="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66" fontId="0" fillId="0" borderId="0" xfId="0" applyNumberFormat="1" applyFont="1" applyBorder="1" applyAlignment="1">
      <alignment vertical="center" wrapText="1"/>
    </xf>
    <xf numFmtId="41" fontId="0" fillId="0" borderId="0" xfId="11" applyFont="1" applyBorder="1" applyAlignment="1">
      <alignment vertical="center" wrapText="1"/>
    </xf>
    <xf numFmtId="165" fontId="0" fillId="3" borderId="0" xfId="1" applyFont="1" applyFill="1" applyBorder="1" applyAlignment="1">
      <alignment vertical="center" wrapText="1"/>
    </xf>
    <xf numFmtId="166"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3" fillId="2" borderId="13" xfId="0" applyFont="1" applyFill="1" applyBorder="1" applyAlignment="1">
      <alignment vertical="center" wrapText="1"/>
    </xf>
    <xf numFmtId="9" fontId="0" fillId="2" borderId="15" xfId="2" applyFont="1" applyFill="1" applyBorder="1" applyAlignment="1">
      <alignment vertical="center" wrapText="1"/>
    </xf>
    <xf numFmtId="165" fontId="2" fillId="3" borderId="0" xfId="2" applyNumberFormat="1" applyFont="1" applyFill="1" applyBorder="1" applyAlignment="1">
      <alignment vertical="center" wrapText="1"/>
    </xf>
    <xf numFmtId="165" fontId="0" fillId="0" borderId="0" xfId="1" applyFont="1" applyFill="1" applyBorder="1" applyAlignment="1">
      <alignment vertical="center" wrapText="1"/>
    </xf>
    <xf numFmtId="166" fontId="0" fillId="3" borderId="0" xfId="0" applyNumberFormat="1" applyFont="1" applyFill="1" applyBorder="1" applyAlignment="1">
      <alignment vertical="center" wrapText="1"/>
    </xf>
    <xf numFmtId="43" fontId="1" fillId="0" borderId="3" xfId="10" applyFont="1" applyBorder="1" applyAlignment="1" applyProtection="1">
      <alignment horizontal="center" vertical="center" wrapText="1"/>
      <protection locked="0"/>
    </xf>
    <xf numFmtId="43" fontId="1" fillId="2" borderId="3" xfId="10" applyFont="1" applyFill="1" applyBorder="1" applyAlignment="1" applyProtection="1">
      <alignment horizontal="center" vertical="center" wrapText="1"/>
    </xf>
    <xf numFmtId="43" fontId="2" fillId="2" borderId="3" xfId="10" applyFont="1" applyFill="1" applyBorder="1" applyAlignment="1" applyProtection="1">
      <alignment horizontal="center" vertical="center" wrapText="1"/>
    </xf>
    <xf numFmtId="43" fontId="1" fillId="2" borderId="3" xfId="10" applyFont="1" applyFill="1" applyBorder="1" applyAlignment="1" applyProtection="1">
      <alignment horizontal="center" vertical="center" wrapText="1"/>
      <protection locked="0"/>
    </xf>
    <xf numFmtId="49" fontId="1" fillId="2" borderId="3" xfId="1" applyNumberFormat="1" applyFont="1" applyFill="1" applyBorder="1" applyAlignment="1" applyProtection="1">
      <alignment horizontal="left" vertical="center" wrapText="1"/>
      <protection locked="0"/>
    </xf>
    <xf numFmtId="43" fontId="2" fillId="2" borderId="3" xfId="10" applyFont="1" applyFill="1" applyBorder="1" applyAlignment="1" applyProtection="1">
      <alignment horizontal="center" vertical="center" wrapText="1"/>
      <protection locked="0"/>
    </xf>
    <xf numFmtId="0" fontId="33" fillId="2" borderId="8" xfId="0" applyFont="1" applyFill="1" applyBorder="1" applyAlignment="1" applyProtection="1">
      <alignment vertical="center" wrapText="1"/>
    </xf>
    <xf numFmtId="0" fontId="20" fillId="2" borderId="13" xfId="0" applyFont="1" applyFill="1" applyBorder="1" applyAlignment="1" applyProtection="1">
      <alignment vertical="center" wrapText="1"/>
    </xf>
    <xf numFmtId="43" fontId="20" fillId="2" borderId="3" xfId="10" applyFont="1" applyFill="1" applyBorder="1" applyAlignment="1" applyProtection="1">
      <alignment horizontal="center" vertical="center" wrapText="1"/>
      <protection locked="0"/>
    </xf>
    <xf numFmtId="0" fontId="27" fillId="3" borderId="3" xfId="0" applyNumberFormat="1"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9" fontId="2" fillId="3" borderId="9" xfId="2" applyFont="1" applyFill="1" applyBorder="1" applyAlignment="1" applyProtection="1">
      <alignment horizontal="center" vertical="center" wrapText="1"/>
      <protection locked="0"/>
    </xf>
    <xf numFmtId="9" fontId="2" fillId="3" borderId="30" xfId="2" applyFont="1" applyFill="1" applyBorder="1" applyAlignment="1" applyProtection="1">
      <alignment horizontal="center" vertical="center" wrapText="1"/>
      <protection locked="0"/>
    </xf>
    <xf numFmtId="43" fontId="20" fillId="2" borderId="9" xfId="10" applyFont="1" applyFill="1" applyBorder="1" applyAlignment="1" applyProtection="1">
      <alignment horizontal="center" vertical="center" wrapText="1"/>
      <protection locked="0"/>
    </xf>
    <xf numFmtId="43" fontId="20" fillId="2" borderId="15" xfId="10" applyFont="1" applyFill="1" applyBorder="1" applyAlignment="1" applyProtection="1">
      <alignment horizontal="center" vertical="center" wrapText="1"/>
      <protection locked="0"/>
    </xf>
    <xf numFmtId="0" fontId="0" fillId="3" borderId="0" xfId="0" applyFont="1" applyFill="1" applyBorder="1" applyAlignment="1">
      <alignment horizontal="center" wrapText="1"/>
    </xf>
    <xf numFmtId="43" fontId="1" fillId="3" borderId="3" xfId="10" applyFont="1" applyFill="1" applyBorder="1" applyAlignment="1" applyProtection="1">
      <alignment horizontal="center" vertical="center" wrapText="1"/>
      <protection locked="0"/>
    </xf>
    <xf numFmtId="165" fontId="2" fillId="3" borderId="5" xfId="1" applyNumberFormat="1" applyFont="1" applyFill="1" applyBorder="1" applyAlignment="1" applyProtection="1">
      <alignment horizontal="center" vertical="center" wrapText="1"/>
    </xf>
    <xf numFmtId="165" fontId="27" fillId="3" borderId="3" xfId="1" applyNumberFormat="1" applyFont="1" applyFill="1" applyBorder="1" applyAlignment="1" applyProtection="1">
      <alignment horizontal="center" vertical="center" wrapText="1"/>
      <protection locked="0"/>
    </xf>
    <xf numFmtId="165" fontId="2" fillId="3" borderId="3" xfId="1" applyNumberFormat="1" applyFont="1" applyFill="1" applyBorder="1" applyAlignment="1" applyProtection="1">
      <alignment horizontal="center" vertical="center" wrapText="1"/>
    </xf>
    <xf numFmtId="165" fontId="1" fillId="3" borderId="3" xfId="1" applyFont="1" applyFill="1" applyBorder="1" applyAlignment="1" applyProtection="1">
      <alignment vertical="center" wrapText="1"/>
      <protection locked="0"/>
    </xf>
    <xf numFmtId="4" fontId="29" fillId="3" borderId="3" xfId="0" applyNumberFormat="1" applyFont="1" applyFill="1" applyBorder="1" applyAlignment="1">
      <alignment vertical="center" wrapText="1"/>
    </xf>
    <xf numFmtId="4" fontId="31" fillId="3" borderId="3" xfId="0" applyNumberFormat="1" applyFont="1" applyFill="1" applyBorder="1" applyAlignment="1">
      <alignment vertical="center" wrapText="1"/>
    </xf>
    <xf numFmtId="169" fontId="0" fillId="3" borderId="0" xfId="0" applyNumberFormat="1" applyFont="1" applyFill="1" applyBorder="1" applyAlignment="1">
      <alignment vertical="center" wrapText="1"/>
    </xf>
    <xf numFmtId="0" fontId="0" fillId="3" borderId="0" xfId="0" applyFont="1" applyFill="1" applyBorder="1" applyAlignment="1">
      <alignment vertical="center" wrapText="1"/>
    </xf>
    <xf numFmtId="0" fontId="1" fillId="13" borderId="3" xfId="0" applyFont="1" applyFill="1" applyBorder="1" applyAlignment="1" applyProtection="1">
      <alignment horizontal="left" vertical="center" wrapText="1"/>
      <protection locked="0"/>
    </xf>
    <xf numFmtId="43" fontId="1" fillId="13" borderId="3" xfId="10" applyFont="1" applyFill="1" applyBorder="1" applyAlignment="1" applyProtection="1">
      <alignment horizontal="center" vertical="center" wrapText="1"/>
      <protection locked="0"/>
    </xf>
    <xf numFmtId="43" fontId="1" fillId="13" borderId="3" xfId="10" applyFont="1" applyFill="1" applyBorder="1" applyAlignment="1" applyProtection="1">
      <alignment horizontal="center" vertical="center" wrapText="1"/>
    </xf>
    <xf numFmtId="9" fontId="1" fillId="13" borderId="3" xfId="2" applyFont="1" applyFill="1" applyBorder="1" applyAlignment="1" applyProtection="1">
      <alignment horizontal="center" vertical="center" wrapText="1"/>
      <protection locked="0"/>
    </xf>
    <xf numFmtId="165" fontId="1" fillId="13" borderId="3" xfId="1" applyFont="1" applyFill="1" applyBorder="1" applyAlignment="1" applyProtection="1">
      <alignment horizontal="center" vertical="center" wrapText="1"/>
      <protection locked="0"/>
    </xf>
    <xf numFmtId="49" fontId="1" fillId="13" borderId="3" xfId="1" applyNumberFormat="1" applyFont="1" applyFill="1" applyBorder="1" applyAlignment="1" applyProtection="1">
      <alignment horizontal="left" vertical="center" wrapText="1"/>
      <protection locked="0"/>
    </xf>
    <xf numFmtId="0" fontId="29" fillId="14" borderId="3" xfId="0" applyFont="1" applyFill="1" applyBorder="1" applyAlignment="1">
      <alignment vertical="center" wrapText="1"/>
    </xf>
    <xf numFmtId="0" fontId="29" fillId="13" borderId="37" xfId="0" applyFont="1" applyFill="1" applyBorder="1" applyAlignment="1">
      <alignment vertical="center" wrapText="1"/>
    </xf>
    <xf numFmtId="165" fontId="1" fillId="13" borderId="3" xfId="1" applyNumberFormat="1" applyFont="1" applyFill="1" applyBorder="1" applyAlignment="1" applyProtection="1">
      <alignment horizontal="center" vertical="center" wrapText="1"/>
      <protection locked="0"/>
    </xf>
    <xf numFmtId="43" fontId="1" fillId="0" borderId="3" xfId="10" applyFont="1" applyFill="1" applyBorder="1" applyAlignment="1" applyProtection="1">
      <alignment horizontal="center" vertical="center" wrapText="1"/>
      <protection locked="0"/>
    </xf>
    <xf numFmtId="165" fontId="1" fillId="0" borderId="5" xfId="1" applyNumberFormat="1"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165"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vertical="center" wrapText="1"/>
      <protection locked="0"/>
    </xf>
    <xf numFmtId="165" fontId="1" fillId="0" borderId="3" xfId="1" applyNumberFormat="1" applyFont="1" applyFill="1" applyBorder="1" applyAlignment="1" applyProtection="1">
      <alignment horizontal="center" vertical="center" wrapText="1"/>
    </xf>
    <xf numFmtId="164" fontId="0" fillId="0" borderId="0" xfId="0" applyNumberFormat="1" applyFont="1" applyBorder="1" applyAlignment="1">
      <alignment wrapText="1"/>
    </xf>
    <xf numFmtId="165" fontId="2" fillId="2" borderId="4" xfId="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xf numFmtId="43" fontId="20" fillId="2" borderId="4" xfId="10" applyFont="1" applyFill="1" applyBorder="1" applyAlignment="1" applyProtection="1">
      <alignment horizontal="center" vertical="center" wrapText="1"/>
      <protection locked="0"/>
    </xf>
    <xf numFmtId="43" fontId="20" fillId="2" borderId="61" xfId="10" applyFont="1" applyFill="1" applyBorder="1" applyAlignment="1" applyProtection="1">
      <alignment horizontal="center" vertical="center" wrapText="1"/>
      <protection locked="0"/>
    </xf>
    <xf numFmtId="165"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3" fontId="20" fillId="2" borderId="2" xfId="10" applyFont="1" applyFill="1" applyBorder="1" applyAlignment="1" applyProtection="1">
      <alignment horizontal="center" vertical="center" wrapText="1"/>
      <protection locked="0"/>
    </xf>
    <xf numFmtId="43" fontId="20" fillId="2" borderId="47" xfId="10" applyFont="1" applyFill="1" applyBorder="1" applyAlignment="1" applyProtection="1">
      <alignment horizontal="center" vertical="center" wrapText="1"/>
      <protection locked="0"/>
    </xf>
    <xf numFmtId="0" fontId="2" fillId="4" borderId="62" xfId="0" applyFont="1" applyFill="1" applyBorder="1" applyAlignment="1" applyProtection="1">
      <alignment vertical="center" wrapText="1"/>
    </xf>
    <xf numFmtId="165" fontId="2" fillId="2" borderId="51" xfId="1" applyFont="1" applyFill="1" applyBorder="1" applyAlignment="1" applyProtection="1">
      <alignment horizontal="center" vertical="center" wrapText="1"/>
    </xf>
    <xf numFmtId="0" fontId="2" fillId="2" borderId="51" xfId="1" applyNumberFormat="1" applyFont="1" applyFill="1" applyBorder="1" applyAlignment="1" applyProtection="1">
      <alignment horizontal="center" vertical="center" wrapText="1"/>
    </xf>
    <xf numFmtId="43" fontId="20" fillId="2" borderId="51" xfId="10" applyFont="1" applyFill="1" applyBorder="1" applyAlignment="1" applyProtection="1">
      <alignment horizontal="center" vertical="center" wrapText="1"/>
      <protection locked="0"/>
    </xf>
    <xf numFmtId="43" fontId="20" fillId="2" borderId="63" xfId="10" applyFont="1" applyFill="1" applyBorder="1" applyAlignment="1" applyProtection="1">
      <alignment horizontal="center" vertical="center" wrapText="1"/>
      <protection locked="0"/>
    </xf>
    <xf numFmtId="43" fontId="27" fillId="0" borderId="3" xfId="10" applyFont="1" applyBorder="1" applyAlignment="1" applyProtection="1">
      <alignment horizontal="center" vertical="center" wrapText="1"/>
      <protection locked="0"/>
    </xf>
    <xf numFmtId="166" fontId="1" fillId="2" borderId="10" xfId="0" applyNumberFormat="1" applyFont="1" applyFill="1" applyBorder="1" applyAlignment="1">
      <alignment wrapText="1"/>
    </xf>
    <xf numFmtId="166" fontId="1" fillId="2" borderId="37" xfId="0" applyNumberFormat="1" applyFont="1" applyFill="1" applyBorder="1" applyAlignment="1">
      <alignment wrapText="1"/>
    </xf>
    <xf numFmtId="166" fontId="1" fillId="2" borderId="36" xfId="0" applyNumberFormat="1" applyFont="1" applyFill="1" applyBorder="1" applyAlignment="1">
      <alignment wrapText="1"/>
    </xf>
    <xf numFmtId="166" fontId="2" fillId="2" borderId="52" xfId="0" applyNumberFormat="1" applyFont="1" applyFill="1" applyBorder="1" applyAlignment="1">
      <alignment wrapText="1"/>
    </xf>
    <xf numFmtId="166" fontId="2" fillId="2" borderId="31" xfId="0" applyNumberFormat="1" applyFont="1" applyFill="1" applyBorder="1" applyAlignment="1">
      <alignment wrapText="1"/>
    </xf>
    <xf numFmtId="166" fontId="2" fillId="2" borderId="32" xfId="0" applyNumberFormat="1" applyFont="1" applyFill="1" applyBorder="1" applyAlignment="1">
      <alignment wrapText="1"/>
    </xf>
    <xf numFmtId="0" fontId="34" fillId="0" borderId="3" xfId="0" applyFont="1" applyFill="1" applyBorder="1" applyAlignment="1" applyProtection="1">
      <alignment horizontal="left" vertical="center" wrapText="1"/>
      <protection locked="0"/>
    </xf>
    <xf numFmtId="165" fontId="34" fillId="0" borderId="5" xfId="1" applyNumberFormat="1" applyFont="1" applyFill="1" applyBorder="1" applyAlignment="1" applyProtection="1">
      <alignment horizontal="center" vertical="center" wrapText="1"/>
      <protection locked="0"/>
    </xf>
    <xf numFmtId="9" fontId="34" fillId="0" borderId="3" xfId="2" applyFont="1" applyFill="1" applyBorder="1" applyAlignment="1" applyProtection="1">
      <alignment horizontal="center" vertical="center" wrapText="1"/>
      <protection locked="0"/>
    </xf>
    <xf numFmtId="165" fontId="34" fillId="0" borderId="3" xfId="1" applyNumberFormat="1" applyFont="1" applyFill="1" applyBorder="1" applyAlignment="1" applyProtection="1">
      <alignment horizontal="center" vertical="center" wrapText="1"/>
    </xf>
    <xf numFmtId="0" fontId="35" fillId="0" borderId="3" xfId="0" applyFont="1" applyFill="1" applyBorder="1" applyAlignment="1" applyProtection="1">
      <alignment horizontal="left" vertical="center" wrapText="1"/>
      <protection locked="0"/>
    </xf>
    <xf numFmtId="43" fontId="35" fillId="0" borderId="3" xfId="10" applyFont="1" applyFill="1" applyBorder="1" applyAlignment="1" applyProtection="1">
      <alignment horizontal="center" vertical="center" wrapText="1"/>
      <protection locked="0"/>
    </xf>
    <xf numFmtId="165" fontId="35" fillId="0" borderId="5" xfId="1" applyNumberFormat="1" applyFont="1" applyFill="1" applyBorder="1" applyAlignment="1" applyProtection="1">
      <alignment horizontal="center" vertical="center" wrapText="1"/>
      <protection locked="0"/>
    </xf>
    <xf numFmtId="43" fontId="35" fillId="0" borderId="3" xfId="10" applyFont="1" applyFill="1" applyBorder="1" applyAlignment="1" applyProtection="1">
      <alignment horizontal="center" vertical="center" wrapText="1"/>
    </xf>
    <xf numFmtId="0" fontId="36" fillId="8" borderId="3" xfId="0" applyFont="1" applyFill="1" applyBorder="1" applyAlignment="1">
      <alignment vertical="center" wrapText="1"/>
    </xf>
    <xf numFmtId="0" fontId="36" fillId="8" borderId="37" xfId="0" applyFont="1" applyFill="1" applyBorder="1" applyAlignment="1">
      <alignment vertical="center" wrapText="1"/>
    </xf>
    <xf numFmtId="0" fontId="36" fillId="0" borderId="37" xfId="0" applyFont="1" applyFill="1" applyBorder="1" applyAlignment="1">
      <alignment vertical="center" wrapText="1"/>
    </xf>
    <xf numFmtId="164" fontId="1" fillId="0" borderId="0" xfId="0" applyNumberFormat="1" applyFont="1" applyFill="1" applyBorder="1" applyAlignment="1" applyProtection="1">
      <alignment vertical="center" wrapText="1"/>
      <protection locked="0"/>
    </xf>
    <xf numFmtId="43" fontId="27" fillId="2" borderId="3" xfId="10" applyFont="1" applyFill="1" applyBorder="1" applyAlignment="1" applyProtection="1">
      <alignment horizontal="center" vertical="center" wrapText="1"/>
    </xf>
    <xf numFmtId="0" fontId="27" fillId="3" borderId="3" xfId="0" applyFont="1" applyFill="1" applyBorder="1" applyAlignment="1" applyProtection="1">
      <alignment horizontal="left" vertical="center" wrapText="1"/>
      <protection locked="0"/>
    </xf>
    <xf numFmtId="9" fontId="27" fillId="3" borderId="3" xfId="0" applyNumberFormat="1" applyFont="1" applyFill="1" applyBorder="1" applyAlignment="1" applyProtection="1">
      <alignment horizontal="center" vertical="center" wrapText="1"/>
      <protection locked="0"/>
    </xf>
    <xf numFmtId="0" fontId="31" fillId="8" borderId="3" xfId="0" applyFont="1" applyFill="1" applyBorder="1" applyAlignment="1">
      <alignment vertical="center" wrapText="1"/>
    </xf>
    <xf numFmtId="170" fontId="27" fillId="12" borderId="3" xfId="10" applyNumberFormat="1" applyFont="1" applyFill="1" applyBorder="1" applyAlignment="1" applyProtection="1">
      <alignment horizontal="left" vertical="center" wrapText="1"/>
      <protection locked="0"/>
    </xf>
    <xf numFmtId="0" fontId="31" fillId="3" borderId="3" xfId="0" applyFont="1" applyFill="1" applyBorder="1" applyAlignment="1">
      <alignment vertical="center" wrapText="1"/>
    </xf>
    <xf numFmtId="43" fontId="27" fillId="0" borderId="3" xfId="10" applyFont="1" applyFill="1" applyBorder="1" applyAlignment="1" applyProtection="1">
      <alignment horizontal="center" vertical="center" wrapText="1"/>
      <protection locked="0"/>
    </xf>
    <xf numFmtId="43" fontId="27" fillId="3" borderId="3" xfId="10" applyFont="1" applyFill="1" applyBorder="1" applyAlignment="1" applyProtection="1">
      <alignment horizontal="center" vertical="center" wrapText="1"/>
      <protection locked="0"/>
    </xf>
    <xf numFmtId="0" fontId="31" fillId="0" borderId="3" xfId="0" applyFont="1" applyFill="1" applyBorder="1" applyAlignment="1">
      <alignment vertical="center" wrapText="1"/>
    </xf>
    <xf numFmtId="0" fontId="31" fillId="8" borderId="37" xfId="0" applyFont="1" applyFill="1" applyBorder="1" applyAlignment="1">
      <alignment vertical="center" wrapText="1"/>
    </xf>
    <xf numFmtId="165" fontId="1" fillId="2" borderId="53" xfId="1" applyFont="1" applyFill="1" applyBorder="1" applyAlignment="1" applyProtection="1">
      <alignment vertical="center" wrapText="1"/>
    </xf>
    <xf numFmtId="165" fontId="1" fillId="2" borderId="13" xfId="1" applyFont="1" applyFill="1" applyBorder="1" applyAlignment="1" applyProtection="1">
      <alignment vertical="center" wrapText="1"/>
    </xf>
    <xf numFmtId="165" fontId="2" fillId="2" borderId="52" xfId="1" applyFont="1" applyFill="1" applyBorder="1" applyAlignment="1" applyProtection="1">
      <alignment vertical="center" wrapText="1"/>
    </xf>
    <xf numFmtId="0" fontId="0" fillId="0" borderId="48" xfId="0" applyFont="1" applyBorder="1" applyAlignment="1">
      <alignment vertical="center" wrapText="1"/>
    </xf>
    <xf numFmtId="0" fontId="2" fillId="6" borderId="37" xfId="0" applyFont="1" applyFill="1" applyBorder="1" applyAlignment="1" applyProtection="1">
      <alignment vertical="center" wrapText="1"/>
    </xf>
    <xf numFmtId="0" fontId="0" fillId="0" borderId="2" xfId="0" applyFont="1" applyBorder="1" applyAlignment="1">
      <alignment vertical="center"/>
    </xf>
    <xf numFmtId="0" fontId="28" fillId="0" borderId="2" xfId="1" applyNumberFormat="1" applyFont="1" applyFill="1" applyBorder="1" applyAlignment="1" applyProtection="1">
      <alignment horizontal="center" vertical="center" wrapText="1"/>
    </xf>
    <xf numFmtId="0" fontId="28" fillId="0" borderId="2" xfId="1" applyNumberFormat="1" applyFont="1" applyFill="1" applyBorder="1" applyAlignment="1" applyProtection="1">
      <alignment vertical="center" wrapText="1"/>
    </xf>
    <xf numFmtId="0" fontId="27" fillId="0" borderId="2" xfId="1" applyNumberFormat="1" applyFont="1" applyFill="1" applyBorder="1" applyAlignment="1" applyProtection="1">
      <alignment vertical="center" wrapText="1"/>
    </xf>
    <xf numFmtId="0" fontId="1" fillId="11" borderId="5" xfId="0" applyFont="1" applyFill="1" applyBorder="1" applyAlignment="1" applyProtection="1">
      <alignment horizontal="left" vertical="center" wrapText="1"/>
      <protection locked="0"/>
    </xf>
    <xf numFmtId="43" fontId="1" fillId="0" borderId="5" xfId="10" applyFont="1" applyBorder="1" applyAlignment="1" applyProtection="1">
      <alignment horizontal="center" vertical="center" wrapText="1"/>
      <protection locked="0"/>
    </xf>
    <xf numFmtId="43" fontId="1" fillId="3" borderId="5" xfId="10" applyFont="1" applyFill="1" applyBorder="1" applyAlignment="1" applyProtection="1">
      <alignment horizontal="center" vertical="center" wrapText="1"/>
      <protection locked="0"/>
    </xf>
    <xf numFmtId="43" fontId="1" fillId="2" borderId="5" xfId="10" applyFont="1" applyFill="1" applyBorder="1" applyAlignment="1" applyProtection="1">
      <alignment horizontal="center" vertical="center" wrapText="1"/>
    </xf>
    <xf numFmtId="9" fontId="1" fillId="0" borderId="5" xfId="2" applyFont="1" applyBorder="1" applyAlignment="1" applyProtection="1">
      <alignment horizontal="center" vertical="center" wrapText="1"/>
      <protection locked="0"/>
    </xf>
    <xf numFmtId="165" fontId="1" fillId="0" borderId="5" xfId="1" applyFont="1" applyBorder="1" applyAlignment="1" applyProtection="1">
      <alignment horizontal="center" vertical="center" wrapText="1"/>
      <protection locked="0"/>
    </xf>
    <xf numFmtId="49" fontId="1" fillId="0" borderId="5" xfId="1" applyNumberFormat="1" applyFont="1" applyBorder="1" applyAlignment="1" applyProtection="1">
      <alignment horizontal="left" vertical="center" wrapText="1"/>
      <protection locked="0"/>
    </xf>
    <xf numFmtId="0" fontId="2" fillId="0" borderId="2"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vertical="center" wrapText="1"/>
    </xf>
    <xf numFmtId="43" fontId="2" fillId="2" borderId="14" xfId="10" applyFont="1" applyFill="1" applyBorder="1" applyAlignment="1" applyProtection="1">
      <alignment horizontal="center" vertical="center" wrapText="1"/>
      <protection locked="0"/>
    </xf>
    <xf numFmtId="166" fontId="1" fillId="2" borderId="36" xfId="0" applyNumberFormat="1" applyFont="1" applyFill="1" applyBorder="1" applyAlignment="1">
      <alignment vertical="center" wrapText="1"/>
    </xf>
    <xf numFmtId="166" fontId="1" fillId="2" borderId="48" xfId="0" applyNumberFormat="1" applyFont="1" applyFill="1" applyBorder="1" applyAlignment="1">
      <alignment vertical="center" wrapText="1"/>
    </xf>
    <xf numFmtId="166" fontId="1" fillId="2" borderId="37" xfId="0" applyNumberFormat="1" applyFont="1" applyFill="1" applyBorder="1" applyAlignment="1">
      <alignment vertical="center" wrapText="1"/>
    </xf>
    <xf numFmtId="166" fontId="2" fillId="2" borderId="36" xfId="0" applyNumberFormat="1" applyFont="1" applyFill="1" applyBorder="1" applyAlignment="1">
      <alignment vertical="center" wrapText="1"/>
    </xf>
    <xf numFmtId="166" fontId="2" fillId="2" borderId="9" xfId="0" applyNumberFormat="1" applyFont="1" applyFill="1" applyBorder="1" applyAlignment="1">
      <alignment vertical="center" wrapText="1"/>
    </xf>
    <xf numFmtId="166" fontId="1" fillId="2" borderId="15" xfId="0" applyNumberFormat="1" applyFont="1" applyFill="1" applyBorder="1" applyAlignment="1">
      <alignment vertical="center" wrapText="1"/>
    </xf>
    <xf numFmtId="166" fontId="1" fillId="2" borderId="47" xfId="0" applyNumberFormat="1" applyFont="1" applyFill="1" applyBorder="1" applyAlignment="1">
      <alignment vertical="center" wrapText="1"/>
    </xf>
    <xf numFmtId="166" fontId="1" fillId="2" borderId="14" xfId="0" applyNumberFormat="1" applyFont="1" applyFill="1" applyBorder="1" applyAlignment="1">
      <alignment vertical="center" wrapText="1"/>
    </xf>
    <xf numFmtId="166" fontId="2" fillId="2" borderId="30" xfId="0" applyNumberFormat="1" applyFont="1" applyFill="1" applyBorder="1" applyAlignment="1">
      <alignment vertical="center" wrapText="1"/>
    </xf>
    <xf numFmtId="166" fontId="1" fillId="2" borderId="54" xfId="1" applyNumberFormat="1" applyFont="1" applyFill="1" applyBorder="1" applyAlignment="1">
      <alignment vertical="center" wrapText="1"/>
    </xf>
    <xf numFmtId="166" fontId="1" fillId="2" borderId="49" xfId="1" applyNumberFormat="1" applyFont="1" applyFill="1" applyBorder="1" applyAlignment="1">
      <alignment vertical="center" wrapText="1"/>
    </xf>
    <xf numFmtId="166" fontId="2" fillId="2" borderId="31" xfId="1" applyNumberFormat="1" applyFont="1" applyFill="1" applyBorder="1" applyAlignment="1">
      <alignment vertical="center" wrapText="1"/>
    </xf>
    <xf numFmtId="166" fontId="1" fillId="2" borderId="17" xfId="0" applyNumberFormat="1" applyFont="1" applyFill="1" applyBorder="1" applyAlignment="1">
      <alignment vertical="center" wrapText="1"/>
    </xf>
    <xf numFmtId="166" fontId="1" fillId="2" borderId="15" xfId="1" applyNumberFormat="1" applyFont="1" applyFill="1" applyBorder="1" applyAlignment="1">
      <alignment vertical="center" wrapText="1"/>
    </xf>
    <xf numFmtId="166" fontId="2" fillId="2" borderId="9" xfId="1" applyNumberFormat="1" applyFont="1" applyFill="1" applyBorder="1" applyAlignment="1">
      <alignment vertical="center" wrapText="1"/>
    </xf>
    <xf numFmtId="166" fontId="2" fillId="2" borderId="32" xfId="1" applyNumberFormat="1" applyFont="1" applyFill="1" applyBorder="1" applyAlignment="1">
      <alignment vertical="center" wrapText="1"/>
    </xf>
    <xf numFmtId="166" fontId="2" fillId="2" borderId="15" xfId="1"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2" fillId="2" borderId="14" xfId="1" applyNumberFormat="1" applyFont="1" applyFill="1" applyBorder="1" applyAlignment="1">
      <alignment vertical="center" wrapText="1"/>
    </xf>
    <xf numFmtId="3" fontId="25" fillId="2" borderId="6" xfId="0" applyNumberFormat="1" applyFont="1" applyFill="1" applyBorder="1" applyAlignment="1">
      <alignment horizontal="center"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0" fillId="0" borderId="26" xfId="0" applyFont="1" applyBorder="1" applyAlignment="1">
      <alignment horizontal="center"/>
    </xf>
    <xf numFmtId="0" fontId="20" fillId="0" borderId="27" xfId="0" applyFont="1" applyBorder="1" applyAlignment="1">
      <alignment horizontal="center"/>
    </xf>
    <xf numFmtId="0" fontId="20" fillId="0" borderId="22" xfId="0" applyFont="1" applyBorder="1" applyAlignment="1">
      <alignment horizontal="center"/>
    </xf>
    <xf numFmtId="49" fontId="21" fillId="2" borderId="6" xfId="0" applyNumberFormat="1" applyFont="1" applyFill="1" applyBorder="1" applyAlignment="1">
      <alignment horizontal="left" vertical="center" wrapText="1"/>
    </xf>
    <xf numFmtId="0" fontId="21" fillId="2"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4"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5" fillId="2" borderId="6" xfId="0" applyNumberFormat="1" applyFont="1" applyFill="1" applyBorder="1" applyAlignment="1">
      <alignment horizontal="left" vertical="center" wrapText="1"/>
    </xf>
    <xf numFmtId="3" fontId="22" fillId="0" borderId="6" xfId="0" applyNumberFormat="1" applyFont="1" applyFill="1" applyBorder="1" applyAlignment="1">
      <alignment horizontal="center" vertical="center" wrapText="1"/>
    </xf>
    <xf numFmtId="3" fontId="21" fillId="2" borderId="6" xfId="0" applyNumberFormat="1" applyFont="1" applyFill="1" applyBorder="1" applyAlignment="1">
      <alignment horizontal="left" vertical="center" wrapText="1"/>
    </xf>
    <xf numFmtId="0" fontId="2" fillId="3" borderId="3" xfId="0" applyFont="1" applyFill="1" applyBorder="1" applyAlignment="1" applyProtection="1">
      <alignment horizontal="left" vertical="center" wrapText="1"/>
      <protection locked="0"/>
    </xf>
    <xf numFmtId="165"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2" fillId="4" borderId="3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30" fillId="8" borderId="4"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8" borderId="2" xfId="0" applyFont="1" applyFill="1" applyBorder="1" applyAlignment="1">
      <alignment horizontal="left" vertical="center" wrapText="1"/>
    </xf>
    <xf numFmtId="0" fontId="28" fillId="3" borderId="3" xfId="0" applyFont="1" applyFill="1" applyBorder="1" applyAlignment="1" applyProtection="1">
      <alignment horizontal="left" vertical="center" wrapText="1"/>
      <protection locked="0"/>
    </xf>
    <xf numFmtId="165" fontId="28" fillId="3" borderId="3" xfId="1" applyFont="1" applyFill="1" applyBorder="1" applyAlignment="1" applyProtection="1">
      <alignment horizontal="left" vertical="center" wrapText="1"/>
      <protection locked="0"/>
    </xf>
    <xf numFmtId="0" fontId="32" fillId="8" borderId="4" xfId="0" applyFont="1" applyFill="1" applyBorder="1" applyAlignment="1">
      <alignment vertical="center" wrapText="1"/>
    </xf>
    <xf numFmtId="0" fontId="32" fillId="8" borderId="1" xfId="0" applyFont="1" applyFill="1" applyBorder="1" applyAlignment="1">
      <alignment vertical="center" wrapText="1"/>
    </xf>
    <xf numFmtId="0" fontId="32" fillId="8" borderId="2" xfId="0" applyFont="1" applyFill="1" applyBorder="1" applyAlignment="1">
      <alignment vertical="center" wrapText="1"/>
    </xf>
    <xf numFmtId="0" fontId="1" fillId="3" borderId="37" xfId="0" applyFont="1" applyFill="1" applyBorder="1" applyAlignment="1" applyProtection="1">
      <alignment horizontal="left" vertical="center" wrapText="1"/>
      <protection locked="0"/>
    </xf>
    <xf numFmtId="165" fontId="1" fillId="3" borderId="37" xfId="1" applyFont="1" applyFill="1" applyBorder="1" applyAlignment="1" applyProtection="1">
      <alignment horizontal="left" vertical="center" wrapText="1"/>
      <protection locked="0"/>
    </xf>
    <xf numFmtId="0" fontId="30" fillId="8" borderId="4" xfId="0" applyFont="1" applyFill="1" applyBorder="1" applyAlignment="1">
      <alignment vertical="center" wrapText="1"/>
    </xf>
    <xf numFmtId="0" fontId="30" fillId="8" borderId="1" xfId="0" applyFont="1" applyFill="1" applyBorder="1" applyAlignment="1">
      <alignment vertical="center" wrapText="1"/>
    </xf>
    <xf numFmtId="0" fontId="30" fillId="8" borderId="60" xfId="0" applyFont="1" applyFill="1" applyBorder="1" applyAlignment="1">
      <alignment vertical="center" wrapText="1"/>
    </xf>
    <xf numFmtId="0" fontId="30" fillId="8" borderId="2" xfId="0" applyFont="1" applyFill="1" applyBorder="1" applyAlignment="1">
      <alignment vertical="center" wrapText="1"/>
    </xf>
    <xf numFmtId="0" fontId="2" fillId="0" borderId="65"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6" xfId="1" applyFont="1" applyFill="1" applyBorder="1" applyAlignment="1" applyProtection="1">
      <alignment horizontal="center" vertical="center" wrapText="1"/>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5" fontId="4" fillId="7" borderId="25" xfId="1" applyFont="1" applyFill="1" applyBorder="1" applyAlignment="1">
      <alignment horizontal="left" wrapText="1"/>
    </xf>
    <xf numFmtId="0" fontId="4" fillId="7" borderId="21" xfId="0" applyFont="1" applyFill="1" applyBorder="1" applyAlignment="1">
      <alignment horizontal="left" wrapText="1"/>
    </xf>
    <xf numFmtId="0" fontId="17" fillId="0" borderId="0" xfId="0" applyFont="1" applyBorder="1" applyAlignment="1">
      <alignment horizontal="left" vertical="top" wrapText="1"/>
    </xf>
    <xf numFmtId="0" fontId="12" fillId="7" borderId="26" xfId="0" applyFont="1" applyFill="1" applyBorder="1" applyAlignment="1">
      <alignment horizontal="left" wrapText="1"/>
    </xf>
    <xf numFmtId="0" fontId="12" fillId="7" borderId="27" xfId="0" applyFont="1" applyFill="1" applyBorder="1" applyAlignment="1">
      <alignment horizontal="left" wrapText="1"/>
    </xf>
    <xf numFmtId="0" fontId="12" fillId="7" borderId="22" xfId="0" applyFont="1" applyFill="1" applyBorder="1" applyAlignment="1">
      <alignment horizontal="left" wrapText="1"/>
    </xf>
    <xf numFmtId="49" fontId="2" fillId="3" borderId="37" xfId="0" applyNumberFormat="1" applyFont="1" applyFill="1" applyBorder="1" applyAlignment="1" applyProtection="1">
      <alignment horizontal="left" vertical="center" wrapText="1"/>
      <protection locked="0"/>
    </xf>
    <xf numFmtId="165" fontId="2" fillId="3" borderId="37" xfId="1"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xf>
    <xf numFmtId="0" fontId="1" fillId="6" borderId="55" xfId="0" applyFont="1" applyFill="1" applyBorder="1" applyAlignment="1" applyProtection="1">
      <alignment horizontal="left" vertical="center" wrapText="1"/>
    </xf>
    <xf numFmtId="0" fontId="1" fillId="6" borderId="37"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7" fillId="6" borderId="55" xfId="0" applyFont="1" applyFill="1" applyBorder="1" applyAlignment="1" applyProtection="1">
      <alignment horizontal="left" vertical="center" wrapText="1"/>
    </xf>
    <xf numFmtId="0" fontId="1" fillId="6" borderId="3" xfId="0" applyFont="1" applyFill="1" applyBorder="1" applyAlignment="1" applyProtection="1">
      <alignment horizontal="left" vertical="center" wrapText="1"/>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31" fillId="9" borderId="5" xfId="0" applyFont="1" applyFill="1" applyBorder="1" applyAlignment="1">
      <alignment horizontal="left" vertical="center" wrapText="1"/>
    </xf>
    <xf numFmtId="0" fontId="31" fillId="9" borderId="55"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14" borderId="5" xfId="0" applyFont="1" applyFill="1" applyBorder="1" applyAlignment="1">
      <alignment horizontal="left" vertical="center" wrapText="1"/>
    </xf>
    <xf numFmtId="0" fontId="31" fillId="14" borderId="55" xfId="0" applyFont="1" applyFill="1" applyBorder="1" applyAlignment="1">
      <alignment horizontal="left" vertical="center" wrapText="1"/>
    </xf>
    <xf numFmtId="0" fontId="31" fillId="14" borderId="59" xfId="0" applyFont="1" applyFill="1" applyBorder="1" applyAlignment="1">
      <alignment horizontal="left" vertical="center" wrapText="1"/>
    </xf>
    <xf numFmtId="0" fontId="1" fillId="6" borderId="5"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1" fillId="6" borderId="37"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31" fillId="9" borderId="5" xfId="0" applyFont="1" applyFill="1" applyBorder="1" applyAlignment="1">
      <alignment vertical="center" wrapText="1"/>
    </xf>
    <xf numFmtId="0" fontId="31" fillId="9" borderId="55" xfId="0" applyFont="1" applyFill="1" applyBorder="1" applyAlignment="1">
      <alignment vertical="center" wrapText="1"/>
    </xf>
    <xf numFmtId="0" fontId="29" fillId="9" borderId="5" xfId="0" applyFont="1" applyFill="1" applyBorder="1" applyAlignment="1">
      <alignment vertical="center" wrapText="1"/>
    </xf>
    <xf numFmtId="0" fontId="29" fillId="9" borderId="55" xfId="0" applyFont="1" applyFill="1" applyBorder="1" applyAlignment="1">
      <alignment vertical="center" wrapText="1"/>
    </xf>
    <xf numFmtId="0" fontId="29" fillId="9" borderId="59" xfId="0" applyFont="1" applyFill="1" applyBorder="1" applyAlignment="1">
      <alignment vertical="center" wrapText="1"/>
    </xf>
    <xf numFmtId="0" fontId="31" fillId="9" borderId="59" xfId="0" applyFont="1" applyFill="1" applyBorder="1" applyAlignment="1">
      <alignment vertical="center" wrapText="1"/>
    </xf>
    <xf numFmtId="0" fontId="27" fillId="6" borderId="37" xfId="0" applyFont="1" applyFill="1" applyBorder="1" applyAlignment="1" applyProtection="1">
      <alignment horizontal="left" vertical="center" wrapText="1"/>
    </xf>
    <xf numFmtId="0" fontId="27" fillId="6" borderId="3" xfId="0" applyFont="1" applyFill="1" applyBorder="1" applyAlignment="1" applyProtection="1">
      <alignment horizontal="left" vertical="center" wrapText="1"/>
    </xf>
    <xf numFmtId="0" fontId="13" fillId="0" borderId="0" xfId="0" applyFont="1" applyBorder="1" applyAlignment="1">
      <alignment horizontal="left" wrapText="1"/>
    </xf>
    <xf numFmtId="0" fontId="36" fillId="9" borderId="5" xfId="0" applyFont="1" applyFill="1" applyBorder="1" applyAlignment="1">
      <alignment horizontal="left" vertical="center" wrapText="1"/>
    </xf>
    <xf numFmtId="0" fontId="36" fillId="9" borderId="55" xfId="0" applyFont="1" applyFill="1" applyBorder="1" applyAlignment="1">
      <alignment horizontal="left" vertical="center" wrapText="1"/>
    </xf>
    <xf numFmtId="0" fontId="36" fillId="9" borderId="59" xfId="0" applyFont="1" applyFill="1" applyBorder="1" applyAlignment="1">
      <alignment horizontal="left" vertical="center" wrapText="1"/>
    </xf>
    <xf numFmtId="0" fontId="31" fillId="9" borderId="37"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7" borderId="18" xfId="0" applyFont="1" applyFill="1" applyBorder="1" applyAlignment="1">
      <alignment horizontal="left" wrapText="1"/>
    </xf>
    <xf numFmtId="0" fontId="10" fillId="7" borderId="16" xfId="0" applyFont="1" applyFill="1" applyBorder="1" applyAlignment="1">
      <alignment horizontal="left" wrapText="1"/>
    </xf>
    <xf numFmtId="0" fontId="10" fillId="7" borderId="38"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5" fontId="3" fillId="2" borderId="42" xfId="0" applyNumberFormat="1" applyFont="1" applyFill="1" applyBorder="1" applyAlignment="1">
      <alignment horizontal="center"/>
    </xf>
    <xf numFmtId="165"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165" fontId="3" fillId="2" borderId="4" xfId="0" applyNumberFormat="1" applyFont="1" applyFill="1" applyBorder="1" applyAlignment="1">
      <alignment horizontal="center"/>
    </xf>
    <xf numFmtId="165" fontId="3" fillId="2" borderId="34" xfId="0" applyNumberFormat="1" applyFont="1" applyFill="1" applyBorder="1" applyAlignment="1">
      <alignment horizontal="center"/>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8" xfId="0" applyFont="1" applyFill="1" applyBorder="1" applyAlignment="1">
      <alignment horizontal="center" vertical="center" wrapText="1"/>
    </xf>
  </cellXfs>
  <cellStyles count="12">
    <cellStyle name="Milliers" xfId="10" builtinId="3"/>
    <cellStyle name="Milliers [0]" xfId="11" builtinId="6"/>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zoomScaleNormal="100" workbookViewId="0">
      <selection activeCell="G58" sqref="G58"/>
    </sheetView>
  </sheetViews>
  <sheetFormatPr baseColWidth="10" defaultColWidth="11.5546875" defaultRowHeight="14.4" x14ac:dyDescent="0.3"/>
  <cols>
    <col min="1" max="1" width="2.6640625" style="132" customWidth="1"/>
    <col min="2" max="2" width="13.33203125" customWidth="1"/>
    <col min="3" max="3" width="77.6640625" customWidth="1"/>
    <col min="4" max="5" width="16.6640625" customWidth="1"/>
    <col min="6" max="6" width="16.6640625" hidden="1" customWidth="1"/>
    <col min="7" max="8" width="16.6640625" customWidth="1"/>
  </cols>
  <sheetData>
    <row r="1" spans="2:8" ht="21.6" thickBot="1" x14ac:dyDescent="0.45">
      <c r="B1" s="427" t="s">
        <v>0</v>
      </c>
      <c r="C1" s="428"/>
      <c r="D1" s="428"/>
      <c r="E1" s="428"/>
      <c r="F1" s="428"/>
      <c r="G1" s="428"/>
      <c r="H1" s="429"/>
    </row>
    <row r="2" spans="2:8" ht="18.600000000000001" thickBot="1" x14ac:dyDescent="0.4">
      <c r="B2" s="430" t="s">
        <v>1</v>
      </c>
      <c r="C2" s="431"/>
      <c r="D2" s="431"/>
      <c r="E2" s="431"/>
      <c r="F2" s="431"/>
      <c r="G2" s="431"/>
      <c r="H2" s="432"/>
    </row>
    <row r="3" spans="2:8" ht="15" thickBot="1" x14ac:dyDescent="0.35">
      <c r="B3" s="132"/>
      <c r="C3" s="134"/>
      <c r="D3" s="133"/>
      <c r="E3" s="133"/>
      <c r="F3" s="133"/>
      <c r="G3" s="133"/>
      <c r="H3" s="133"/>
    </row>
    <row r="4" spans="2:8" ht="42" thickBot="1" x14ac:dyDescent="0.35">
      <c r="B4" s="193" t="s">
        <v>2</v>
      </c>
      <c r="C4" s="193" t="s">
        <v>3</v>
      </c>
      <c r="D4" s="194" t="s">
        <v>4</v>
      </c>
      <c r="E4" s="194" t="s">
        <v>5</v>
      </c>
      <c r="F4" s="194"/>
      <c r="G4" s="194" t="s">
        <v>6</v>
      </c>
      <c r="H4" s="195" t="s">
        <v>7</v>
      </c>
    </row>
    <row r="5" spans="2:8" ht="45.6" customHeight="1" thickBot="1" x14ac:dyDescent="0.35">
      <c r="B5" s="433" t="str">
        <f>'1) Tableau budgétaire 1'!C14</f>
        <v>Résultat 1 : Les acteurs nationaux, y compris ceux au plus haut niveau de l’Etat, sont outillés pour piloter et assurer la mise en œuvre de la politique de sécurité nationale a travers l’élaboration  et le suivi des stratégies sectorielles et thématiques en matière de sécurité nationale et de justice.</v>
      </c>
      <c r="C5" s="434"/>
      <c r="D5" s="210">
        <f>SUM(D6:D9)</f>
        <v>673700</v>
      </c>
      <c r="E5" s="210">
        <f>SUM(E6:E9)</f>
        <v>243000</v>
      </c>
      <c r="F5" s="210">
        <f t="shared" ref="F5" si="0">SUM(F6:F9)</f>
        <v>0</v>
      </c>
      <c r="G5" s="210">
        <f>SUM(G6:G9)</f>
        <v>916700</v>
      </c>
      <c r="H5" s="201">
        <f>G5/$G$30</f>
        <v>0.36667999970665605</v>
      </c>
    </row>
    <row r="6" spans="2:8" ht="69.599999999999994" thickBot="1" x14ac:dyDescent="0.35">
      <c r="B6" s="196" t="s">
        <v>8</v>
      </c>
      <c r="C6" s="159" t="str">
        <f>'1) Tableau budgétaire 1'!C15:J15</f>
        <v>Les mécanismes et structures de mise en œuvre de la réforme du secteur de sécurité sont finalisés et validés, à travers le conseil politique et stratégique au Chef de l’État et aux ministères concernés, ainsi qu’aux acteurs clés, étatiques et non-étatiques, en matière de prise de décision dans le champ de la sécurité nationale, de réforme et gouvernance sécuritaire,  de justice et de redevabilité</v>
      </c>
      <c r="D6" s="158">
        <f>'1) Tableau budgétaire 1'!D37</f>
        <v>380000</v>
      </c>
      <c r="E6" s="158">
        <f>'1) Tableau budgétaire 1'!E37</f>
        <v>0</v>
      </c>
      <c r="F6" s="158">
        <f>'1) Tableau budgétaire 1'!F37</f>
        <v>0</v>
      </c>
      <c r="G6" s="158">
        <f>SUM(D6:F6)</f>
        <v>380000</v>
      </c>
      <c r="H6" s="136"/>
    </row>
    <row r="7" spans="2:8" ht="42" thickBot="1" x14ac:dyDescent="0.35">
      <c r="B7" s="196" t="s">
        <v>9</v>
      </c>
      <c r="C7" s="159" t="str">
        <f>'1) Tableau budgétaire 1'!C38:J38</f>
        <v>Les capacités stratégiques des parties prenantes à la RSS permettant la mise en œuvre, le suivi et évaluation de la politique de sécurité nationale et des stratégies sectorielles y compris dans leur volet de redevabilité sont améliorées.</v>
      </c>
      <c r="D7" s="137">
        <f>'1) Tableau budgétaire 1'!D67</f>
        <v>181200</v>
      </c>
      <c r="E7" s="137">
        <f>'1) Tableau budgétaire 1'!E67</f>
        <v>50000</v>
      </c>
      <c r="F7" s="137">
        <f>'1) Tableau budgétaire 1'!F67</f>
        <v>0</v>
      </c>
      <c r="G7" s="158">
        <f t="shared" ref="G7:G9" si="1">SUM(D7:F7)</f>
        <v>231200</v>
      </c>
      <c r="H7" s="138"/>
    </row>
    <row r="8" spans="2:8" ht="31.2" customHeight="1" thickBot="1" x14ac:dyDescent="0.35">
      <c r="B8" s="196" t="s">
        <v>10</v>
      </c>
      <c r="C8" s="159" t="str">
        <f>'1) Tableau budgétaire 1'!C68:J68</f>
        <v xml:space="preserve"> Le contrôle civil de la gouvernance des institutions sécuritaires est amélioré. </v>
      </c>
      <c r="D8" s="137">
        <f>'1) Tableau budgétaire 1'!D83</f>
        <v>61000</v>
      </c>
      <c r="E8" s="137">
        <f>'1) Tableau budgétaire 1'!E83</f>
        <v>82000</v>
      </c>
      <c r="F8" s="137">
        <f>'1) Tableau budgétaire 1'!F83</f>
        <v>0</v>
      </c>
      <c r="G8" s="158">
        <f t="shared" si="1"/>
        <v>143000</v>
      </c>
      <c r="H8" s="138"/>
    </row>
    <row r="9" spans="2:8" s="132" customFormat="1" ht="42" customHeight="1" thickBot="1" x14ac:dyDescent="0.35">
      <c r="B9" s="196" t="s">
        <v>11</v>
      </c>
      <c r="C9" s="159" t="str">
        <f>'1) Tableau budgétaire 1'!C84</f>
        <v>Les structures de contrôle judiciaire, les juridictions et le ministère de la justice renforcent leur rôle de contrôle et de mise en œuvre de l’aspect RSS de la « Politique sectorielle Justice et Droits Humains 2018-2027 »</v>
      </c>
      <c r="D9" s="137">
        <f>'1) Tableau budgétaire 1'!D131</f>
        <v>51500</v>
      </c>
      <c r="E9" s="137">
        <f>'1) Tableau budgétaire 1'!E131</f>
        <v>111000</v>
      </c>
      <c r="F9" s="137">
        <f>'1) Tableau budgétaire 1'!F131</f>
        <v>0</v>
      </c>
      <c r="G9" s="158">
        <f t="shared" si="1"/>
        <v>162500</v>
      </c>
      <c r="H9" s="138"/>
    </row>
    <row r="10" spans="2:8" ht="31.95" customHeight="1" thickBot="1" x14ac:dyDescent="0.35">
      <c r="B10" s="434" t="str">
        <f>CONCATENATE("Résultat 2 : ",'1) Tableau budgétaire 1'!C133)</f>
        <v>Résultat 2 : Les femmes et le jeunes ont un cadre de participation dans la gouvernance sécuritaire et la prise en compte du genre au sein des institutions de défense et de sécurité est systématisée</v>
      </c>
      <c r="C10" s="434"/>
      <c r="D10" s="210">
        <f>SUM(D11:D13)</f>
        <v>38000</v>
      </c>
      <c r="E10" s="210">
        <f>SUM(E11:E13)</f>
        <v>115000</v>
      </c>
      <c r="F10" s="210">
        <f>SUM(F11:F13)</f>
        <v>0</v>
      </c>
      <c r="G10" s="210">
        <f>SUM(G11:G13)</f>
        <v>153000</v>
      </c>
      <c r="H10" s="201">
        <f>G10/$G$30</f>
        <v>6.1199999951040002E-2</v>
      </c>
    </row>
    <row r="11" spans="2:8" ht="41.4" customHeight="1" thickBot="1" x14ac:dyDescent="0.35">
      <c r="B11" s="197" t="s">
        <v>12</v>
      </c>
      <c r="C11" s="159" t="str">
        <f>'1) Tableau budgétaire 1'!C134:J134</f>
        <v>Un plan d’action pour une prise en compte effective du genre et de l’égalité des chances au sein des FDS est élaboré et mis en œuvre.</v>
      </c>
      <c r="D11" s="137">
        <f>'1) Tableau budgétaire 1'!D231</f>
        <v>0</v>
      </c>
      <c r="E11" s="137">
        <f>'1) Tableau budgétaire 1'!E231</f>
        <v>71000</v>
      </c>
      <c r="F11" s="137">
        <f>'1) Tableau budgétaire 1'!F231</f>
        <v>0</v>
      </c>
      <c r="G11" s="158">
        <f>SUM(D11:F11)</f>
        <v>71000</v>
      </c>
      <c r="H11" s="136"/>
    </row>
    <row r="12" spans="2:8" ht="28.2" thickBot="1" x14ac:dyDescent="0.35">
      <c r="B12" s="198" t="s">
        <v>13</v>
      </c>
      <c r="C12" s="160" t="str">
        <f>'1) Tableau budgétaire 1'!C232:J232</f>
        <v>Un dispositif de prévention contre le harcèlement sexuel au sein des FDS et un mécanisme de lutte contre les VBG sont mis en place</v>
      </c>
      <c r="D12" s="137">
        <f>'1) Tableau budgétaire 1'!D273</f>
        <v>38000</v>
      </c>
      <c r="E12" s="137">
        <f>'1) Tableau budgétaire 1'!E273</f>
        <v>44000</v>
      </c>
      <c r="F12" s="137">
        <f>'1) Tableau budgétaire 1'!F273</f>
        <v>0</v>
      </c>
      <c r="G12" s="158">
        <f>SUM(D12:F12)</f>
        <v>82000</v>
      </c>
      <c r="H12" s="138"/>
    </row>
    <row r="13" spans="2:8" ht="15" hidden="1" thickBot="1" x14ac:dyDescent="0.35">
      <c r="B13" s="159" t="s">
        <v>14</v>
      </c>
      <c r="C13" s="160"/>
      <c r="D13" s="137">
        <f>'1) Tableau budgétaire 1'!D285</f>
        <v>0</v>
      </c>
      <c r="E13" s="137">
        <f>'1) Tableau budgétaire 1'!E285</f>
        <v>0</v>
      </c>
      <c r="F13" s="137">
        <f>'1) Tableau budgétaire 1'!F285</f>
        <v>0</v>
      </c>
      <c r="G13" s="158">
        <f t="shared" ref="G13" si="2">SUM(D13:F13)</f>
        <v>0</v>
      </c>
      <c r="H13" s="138"/>
    </row>
    <row r="14" spans="2:8" s="132" customFormat="1" ht="39.6" customHeight="1" thickBot="1" x14ac:dyDescent="0.35">
      <c r="B14" s="434" t="str">
        <f>CONCATENATE("Résultat 3 : ",'1) Tableau budgétaire 1'!C287)</f>
        <v>Résultat 3 : D’ici la fin du projet, les acteurs de la chaîne pénale, les forces de sécurité, la société civile, et les populations développent une relation de confiance accrue</v>
      </c>
      <c r="C14" s="434"/>
      <c r="D14" s="210">
        <f>SUM(D15:D17)</f>
        <v>355000</v>
      </c>
      <c r="E14" s="210">
        <f>SUM(E15:E17)</f>
        <v>166120</v>
      </c>
      <c r="F14" s="210">
        <f>SUM(F15:F17)</f>
        <v>0</v>
      </c>
      <c r="G14" s="210">
        <f>SUM(G15:G17)</f>
        <v>521120</v>
      </c>
      <c r="H14" s="201">
        <f>G14/$G$30</f>
        <v>0.20844799983324161</v>
      </c>
    </row>
    <row r="15" spans="2:8" s="132" customFormat="1" ht="28.2" thickBot="1" x14ac:dyDescent="0.35">
      <c r="B15" s="198" t="s">
        <v>15</v>
      </c>
      <c r="C15" s="160" t="str">
        <f>'1) Tableau budgétaire 1'!C288:J288</f>
        <v>Les problèmes de sécurités et les solutions sont conjointement identifiés par les populations locales et les FDS en tiennent compte dans leurs plans locaux et nationaux de sécurité.</v>
      </c>
      <c r="D15" s="137">
        <f>'1) Tableau budgétaire 1'!D304</f>
        <v>205000</v>
      </c>
      <c r="E15" s="137">
        <f>'1) Tableau budgétaire 1'!E304</f>
        <v>0</v>
      </c>
      <c r="F15" s="137">
        <f>'1) Tableau budgétaire 1'!F304</f>
        <v>0</v>
      </c>
      <c r="G15" s="158">
        <f>SUM(D15:F15)</f>
        <v>205000</v>
      </c>
      <c r="H15" s="138"/>
    </row>
    <row r="16" spans="2:8" s="132" customFormat="1" ht="28.2" thickBot="1" x14ac:dyDescent="0.35">
      <c r="B16" s="197" t="s">
        <v>16</v>
      </c>
      <c r="C16" s="160" t="str">
        <f>'1) Tableau budgétaire 1'!C305:J305</f>
        <v>Appui au niveau régional à la mise en place de cadres de dialogue entre FDS, les acteurs de la chaîne pénale, communautés, société civile y compris les organisations des femmes et des jeunes</v>
      </c>
      <c r="D16" s="137">
        <f>'1) Tableau budgétaire 1'!D323</f>
        <v>150000</v>
      </c>
      <c r="E16" s="137">
        <f>'1) Tableau budgétaire 1'!E323</f>
        <v>166120</v>
      </c>
      <c r="F16" s="137">
        <f>'1) Tableau budgétaire 1'!F323</f>
        <v>0</v>
      </c>
      <c r="G16" s="158">
        <f>SUM(D16:F16)</f>
        <v>316120</v>
      </c>
      <c r="H16" s="138"/>
    </row>
    <row r="17" spans="2:11" s="132" customFormat="1" ht="15" thickBot="1" x14ac:dyDescent="0.35">
      <c r="B17" s="197" t="s">
        <v>17</v>
      </c>
      <c r="C17" s="160"/>
      <c r="D17" s="137">
        <f>'1) Tableau budgétaire 1'!D335</f>
        <v>0</v>
      </c>
      <c r="E17" s="137">
        <f>'1) Tableau budgétaire 1'!E335</f>
        <v>0</v>
      </c>
      <c r="F17" s="137">
        <f>'1) Tableau budgétaire 1'!F335</f>
        <v>0</v>
      </c>
      <c r="G17" s="158">
        <f t="shared" ref="G17" si="3">SUM(D17:F17)</f>
        <v>0</v>
      </c>
      <c r="H17" s="138"/>
    </row>
    <row r="18" spans="2:11" ht="43.95" hidden="1" customHeight="1" thickBot="1" x14ac:dyDescent="0.35">
      <c r="B18" s="434">
        <f>'1) Tableau budgétaire 1'!C337</f>
        <v>0</v>
      </c>
      <c r="C18" s="434"/>
      <c r="D18" s="210">
        <f>SUM(D19:D21)</f>
        <v>0</v>
      </c>
      <c r="E18" s="210">
        <f>SUM(E19:E21)</f>
        <v>0</v>
      </c>
      <c r="F18" s="210">
        <f>SUM(F19:F21)</f>
        <v>0</v>
      </c>
      <c r="G18" s="210">
        <f>SUM(G19:G21)</f>
        <v>0</v>
      </c>
      <c r="H18" s="201">
        <f>G18/$G$30</f>
        <v>0</v>
      </c>
      <c r="I18" s="132"/>
      <c r="J18" s="132"/>
      <c r="K18" s="132"/>
    </row>
    <row r="19" spans="2:11" ht="34.200000000000003" hidden="1" customHeight="1" thickBot="1" x14ac:dyDescent="0.35">
      <c r="B19" s="198" t="s">
        <v>18</v>
      </c>
      <c r="C19" s="139">
        <f>'1) Tableau budgétaire 1'!C338:J338</f>
        <v>0</v>
      </c>
      <c r="D19" s="137">
        <f>'1) Tableau budgétaire 1'!D364</f>
        <v>0</v>
      </c>
      <c r="E19" s="137">
        <f>'1) Tableau budgétaire 1'!E364</f>
        <v>0</v>
      </c>
      <c r="F19" s="137">
        <f>'1) Tableau budgétaire 1'!F364</f>
        <v>0</v>
      </c>
      <c r="G19" s="158">
        <f>SUM(D19:F19)</f>
        <v>0</v>
      </c>
      <c r="H19" s="136"/>
      <c r="I19" s="132"/>
      <c r="J19" s="132"/>
      <c r="K19" s="132"/>
    </row>
    <row r="20" spans="2:11" ht="15" hidden="1" thickBot="1" x14ac:dyDescent="0.35">
      <c r="B20" s="197" t="s">
        <v>19</v>
      </c>
      <c r="C20" s="140">
        <f>'1) Tableau budgétaire 1'!C365:J365</f>
        <v>0</v>
      </c>
      <c r="D20" s="137">
        <f>'1) Tableau budgétaire 1'!D391</f>
        <v>0</v>
      </c>
      <c r="E20" s="137">
        <f>'1) Tableau budgétaire 1'!E391</f>
        <v>0</v>
      </c>
      <c r="F20" s="137">
        <f>'1) Tableau budgétaire 1'!F391</f>
        <v>0</v>
      </c>
      <c r="G20" s="158">
        <f t="shared" ref="G20:G21" si="4">SUM(D20:F20)</f>
        <v>0</v>
      </c>
      <c r="H20" s="138"/>
      <c r="I20" s="132"/>
      <c r="J20" s="132"/>
      <c r="K20" s="132"/>
    </row>
    <row r="21" spans="2:11" s="132" customFormat="1" ht="15" hidden="1" thickBot="1" x14ac:dyDescent="0.35">
      <c r="B21" s="197" t="s">
        <v>20</v>
      </c>
      <c r="C21" s="140">
        <f>'1) Tableau budgétaire 1'!C392:J392</f>
        <v>0</v>
      </c>
      <c r="D21" s="137">
        <f>'1) Tableau budgétaire 1'!D419</f>
        <v>0</v>
      </c>
      <c r="E21" s="137">
        <f>'1) Tableau budgétaire 1'!E419</f>
        <v>0</v>
      </c>
      <c r="F21" s="137">
        <f>'1) Tableau budgétaire 1'!F419</f>
        <v>0</v>
      </c>
      <c r="G21" s="158">
        <f t="shared" si="4"/>
        <v>0</v>
      </c>
      <c r="H21" s="138"/>
    </row>
    <row r="22" spans="2:11" ht="15" thickBot="1" x14ac:dyDescent="0.35">
      <c r="B22" s="426" t="s">
        <v>21</v>
      </c>
      <c r="C22" s="426"/>
      <c r="D22" s="200">
        <f>D18+D10+D5+D14</f>
        <v>1066700</v>
      </c>
      <c r="E22" s="200">
        <f>E18+E10+E5+E14</f>
        <v>524120</v>
      </c>
      <c r="F22" s="200">
        <f>F18+F10+F5+F14</f>
        <v>0</v>
      </c>
      <c r="G22" s="200">
        <f>G18+G10+G5+G14</f>
        <v>1590820</v>
      </c>
      <c r="H22" s="201"/>
      <c r="I22" s="132"/>
      <c r="J22" s="132"/>
      <c r="K22" s="132"/>
    </row>
    <row r="23" spans="2:11" ht="28.95" customHeight="1" thickBot="1" x14ac:dyDescent="0.35">
      <c r="B23" s="440" t="s">
        <v>544</v>
      </c>
      <c r="C23" s="440"/>
      <c r="D23" s="210">
        <f>SUM(D24:D27)</f>
        <v>515778</v>
      </c>
      <c r="E23" s="210">
        <f>SUM(E24:E27)</f>
        <v>229850.6</v>
      </c>
      <c r="F23" s="210">
        <f t="shared" ref="F23" si="5">SUM(F24:F27)</f>
        <v>0</v>
      </c>
      <c r="G23" s="210">
        <f t="shared" ref="G23" si="6">SUM(G24:G27)</f>
        <v>745628.6</v>
      </c>
      <c r="H23" s="201">
        <f>G23/$G$30</f>
        <v>0.29825143976139884</v>
      </c>
      <c r="I23" s="132"/>
      <c r="J23" s="132"/>
      <c r="K23" s="132"/>
    </row>
    <row r="24" spans="2:11" ht="15" thickBot="1" x14ac:dyDescent="0.35">
      <c r="B24" s="199">
        <v>5.0999999999999996</v>
      </c>
      <c r="C24" s="160" t="s">
        <v>22</v>
      </c>
      <c r="D24" s="137">
        <f>SUM('1) Tableau budgétaire 1'!D434:D443)</f>
        <v>230313</v>
      </c>
      <c r="E24" s="137">
        <f>SUM('1) Tableau budgétaire 1'!E434:E443)</f>
        <v>131200.6</v>
      </c>
      <c r="F24" s="137">
        <f>'1) Tableau budgétaire 1'!F434</f>
        <v>0</v>
      </c>
      <c r="G24" s="158">
        <f>SUM(D24:F24)</f>
        <v>361513.6</v>
      </c>
      <c r="H24" s="136"/>
      <c r="I24" s="132"/>
      <c r="J24" s="132"/>
      <c r="K24" s="132"/>
    </row>
    <row r="25" spans="2:11" ht="15" thickBot="1" x14ac:dyDescent="0.35">
      <c r="B25" s="199">
        <v>5.2</v>
      </c>
      <c r="C25" s="159" t="s">
        <v>23</v>
      </c>
      <c r="D25" s="141">
        <f>SUM('1) Tableau budgétaire 1'!D449:D454)</f>
        <v>125600</v>
      </c>
      <c r="E25" s="141">
        <f>SUM('1) Tableau budgétaire 1'!E449:E454)</f>
        <v>53500</v>
      </c>
      <c r="F25" s="141">
        <f>'1) Tableau budgétaire 1'!F449</f>
        <v>0</v>
      </c>
      <c r="G25" s="158">
        <f t="shared" ref="G25:G26" si="7">SUM(D25:F25)</f>
        <v>179100</v>
      </c>
      <c r="H25" s="138"/>
      <c r="I25" s="132"/>
      <c r="J25" s="132"/>
      <c r="K25" s="132"/>
    </row>
    <row r="26" spans="2:11" ht="15" thickBot="1" x14ac:dyDescent="0.35">
      <c r="B26" s="199">
        <v>5.3</v>
      </c>
      <c r="C26" s="159" t="s">
        <v>24</v>
      </c>
      <c r="D26" s="161">
        <f>SUM('1) Tableau budgétaire 1'!D455:D459)</f>
        <v>109865</v>
      </c>
      <c r="E26" s="161">
        <f>SUM('1) Tableau budgétaire 1'!E455:E459)</f>
        <v>40150</v>
      </c>
      <c r="F26" s="161">
        <f>'1) Tableau budgétaire 1'!F455</f>
        <v>0</v>
      </c>
      <c r="G26" s="158">
        <f t="shared" si="7"/>
        <v>150015</v>
      </c>
      <c r="H26" s="138"/>
      <c r="I26" s="132"/>
      <c r="J26" s="132"/>
      <c r="K26" s="132"/>
    </row>
    <row r="27" spans="2:11" s="132" customFormat="1" ht="15" thickBot="1" x14ac:dyDescent="0.35">
      <c r="B27" s="199">
        <v>5.4</v>
      </c>
      <c r="C27" s="159" t="s">
        <v>25</v>
      </c>
      <c r="D27" s="161">
        <f>'1) Tableau budgétaire 1'!D460</f>
        <v>50000</v>
      </c>
      <c r="E27" s="161">
        <f>'1) Tableau budgétaire 1'!E460</f>
        <v>5000</v>
      </c>
      <c r="F27" s="161">
        <f>'1) Tableau budgétaire 1'!F460</f>
        <v>0</v>
      </c>
      <c r="G27" s="158">
        <f>SUM(D27:F27)</f>
        <v>55000</v>
      </c>
      <c r="H27" s="138"/>
    </row>
    <row r="28" spans="2:11" ht="15" thickBot="1" x14ac:dyDescent="0.35">
      <c r="B28" s="426" t="s">
        <v>26</v>
      </c>
      <c r="C28" s="426"/>
      <c r="D28" s="203">
        <f>+D23+D22</f>
        <v>1582478</v>
      </c>
      <c r="E28" s="203">
        <f>+E23+E22</f>
        <v>753970.6</v>
      </c>
      <c r="F28" s="203">
        <f>+F23+F22</f>
        <v>0</v>
      </c>
      <c r="G28" s="202">
        <f>SUM(D28:F28)</f>
        <v>2336448.6</v>
      </c>
      <c r="H28" s="204"/>
      <c r="I28" s="132"/>
      <c r="J28" s="132"/>
      <c r="K28" s="132"/>
    </row>
    <row r="29" spans="2:11" ht="15" thickBot="1" x14ac:dyDescent="0.35">
      <c r="B29" s="441" t="s">
        <v>27</v>
      </c>
      <c r="C29" s="441"/>
      <c r="D29" s="161">
        <f>D28*7%</f>
        <v>110773.46</v>
      </c>
      <c r="E29" s="161">
        <f>E28*7%</f>
        <v>52777.942000000003</v>
      </c>
      <c r="F29" s="161">
        <f t="shared" ref="F29" si="8">F28*7%</f>
        <v>0</v>
      </c>
      <c r="G29" s="161">
        <f>SUM(D29:F29)</f>
        <v>163551.402</v>
      </c>
      <c r="H29" s="135">
        <f>G29/$G$30</f>
        <v>6.5420560747663559E-2</v>
      </c>
      <c r="I29" s="132"/>
      <c r="J29" s="191"/>
      <c r="K29" s="191"/>
    </row>
    <row r="30" spans="2:11" ht="15" thickBot="1" x14ac:dyDescent="0.35">
      <c r="B30" s="442" t="s">
        <v>28</v>
      </c>
      <c r="C30" s="442"/>
      <c r="D30" s="205">
        <f>D29+D28</f>
        <v>1693251.46</v>
      </c>
      <c r="E30" s="205">
        <f>E29+E28</f>
        <v>806748.54200000002</v>
      </c>
      <c r="F30" s="205">
        <f t="shared" ref="F30" si="9">F29+F28</f>
        <v>0</v>
      </c>
      <c r="G30" s="205">
        <f>SUM(D30:F30)</f>
        <v>2500000.0019999999</v>
      </c>
      <c r="H30" s="201">
        <f>G30/G30</f>
        <v>1</v>
      </c>
      <c r="I30" s="132"/>
      <c r="J30" s="132"/>
      <c r="K30" s="132"/>
    </row>
    <row r="31" spans="2:11" ht="15" thickBot="1" x14ac:dyDescent="0.35">
      <c r="B31" s="142"/>
      <c r="C31" s="143"/>
      <c r="D31" s="144"/>
      <c r="E31" s="144"/>
      <c r="F31" s="144"/>
      <c r="G31" s="144"/>
      <c r="H31" s="145"/>
      <c r="I31" s="132"/>
      <c r="J31" s="132"/>
      <c r="K31" s="132"/>
    </row>
    <row r="32" spans="2:11" x14ac:dyDescent="0.3">
      <c r="B32" s="146"/>
      <c r="C32" s="206" t="s">
        <v>29</v>
      </c>
      <c r="D32" s="207" t="s">
        <v>4</v>
      </c>
      <c r="E32" s="207" t="s">
        <v>5</v>
      </c>
      <c r="F32" s="207"/>
      <c r="G32" s="207" t="s">
        <v>30</v>
      </c>
      <c r="H32" s="132"/>
      <c r="I32" s="132"/>
      <c r="J32" s="132"/>
      <c r="K32" s="132"/>
    </row>
    <row r="33" spans="2:9" ht="15" thickBot="1" x14ac:dyDescent="0.35">
      <c r="B33" s="132"/>
      <c r="C33" s="208" t="s">
        <v>608</v>
      </c>
      <c r="D33" s="209">
        <f>D30*70%</f>
        <v>1185276.0219999999</v>
      </c>
      <c r="E33" s="209">
        <f>E30*70%</f>
        <v>564723.97939999995</v>
      </c>
      <c r="F33" s="209">
        <f t="shared" ref="F33" si="10">F30*35%</f>
        <v>0</v>
      </c>
      <c r="G33" s="209">
        <f>SUM(D33:F33)</f>
        <v>1750000.0014</v>
      </c>
      <c r="H33" s="133"/>
      <c r="I33" s="132"/>
    </row>
    <row r="34" spans="2:9" ht="15" thickBot="1" x14ac:dyDescent="0.35">
      <c r="B34" s="132"/>
      <c r="C34" s="208" t="s">
        <v>609</v>
      </c>
      <c r="D34" s="209">
        <f>D30*30%</f>
        <v>507975.43799999997</v>
      </c>
      <c r="E34" s="209">
        <f>E30*30%</f>
        <v>242024.5626</v>
      </c>
      <c r="F34" s="209">
        <f t="shared" ref="F34" si="11">F30*35%</f>
        <v>0</v>
      </c>
      <c r="G34" s="209">
        <f t="shared" ref="G34:G35" si="12">SUM(D34:F34)</f>
        <v>750000.00059999991</v>
      </c>
      <c r="H34" s="133"/>
      <c r="I34" s="132"/>
    </row>
    <row r="35" spans="2:9" ht="15" thickBot="1" x14ac:dyDescent="0.35">
      <c r="B35" s="132"/>
      <c r="C35" s="208"/>
      <c r="D35" s="209">
        <f>+D33+D34</f>
        <v>1693251.46</v>
      </c>
      <c r="E35" s="209">
        <f>+E33+E34</f>
        <v>806748.5419999999</v>
      </c>
      <c r="F35" s="209"/>
      <c r="G35" s="209">
        <f t="shared" si="12"/>
        <v>2500000.0019999999</v>
      </c>
      <c r="H35" s="133"/>
      <c r="I35" s="132"/>
    </row>
    <row r="36" spans="2:9" x14ac:dyDescent="0.3">
      <c r="B36" s="132"/>
      <c r="C36" s="134"/>
      <c r="D36" s="133"/>
      <c r="E36" s="133"/>
      <c r="F36" s="133"/>
      <c r="G36" s="133"/>
      <c r="H36" s="133"/>
      <c r="I36" s="132"/>
    </row>
    <row r="37" spans="2:9" x14ac:dyDescent="0.3">
      <c r="B37" s="132"/>
      <c r="C37" s="134"/>
      <c r="D37" s="133"/>
      <c r="E37" s="133"/>
      <c r="F37" s="133"/>
      <c r="G37" s="133"/>
      <c r="H37" s="133"/>
      <c r="I37" s="132"/>
    </row>
    <row r="38" spans="2:9" ht="15" thickBot="1" x14ac:dyDescent="0.35">
      <c r="B38" s="132"/>
      <c r="C38" s="134"/>
      <c r="D38" s="133"/>
      <c r="E38" s="133"/>
      <c r="F38" s="133"/>
      <c r="G38" s="133"/>
      <c r="H38" s="133"/>
      <c r="I38" s="132"/>
    </row>
    <row r="39" spans="2:9" ht="16.2" thickBot="1" x14ac:dyDescent="0.35">
      <c r="B39" s="132"/>
      <c r="C39" s="435" t="s">
        <v>31</v>
      </c>
      <c r="D39" s="436"/>
      <c r="E39" s="436"/>
      <c r="F39" s="436"/>
      <c r="G39" s="437"/>
      <c r="H39" s="133"/>
      <c r="I39" s="132"/>
    </row>
    <row r="40" spans="2:9" ht="31.2" x14ac:dyDescent="0.3">
      <c r="B40" s="132"/>
      <c r="C40" s="167"/>
      <c r="D40" s="169" t="s">
        <v>32</v>
      </c>
      <c r="E40" s="170" t="s">
        <v>33</v>
      </c>
      <c r="F40" s="170" t="s">
        <v>34</v>
      </c>
      <c r="G40" s="438" t="s">
        <v>35</v>
      </c>
      <c r="H40" s="133"/>
      <c r="I40" s="132"/>
    </row>
    <row r="41" spans="2:9" ht="15.6" x14ac:dyDescent="0.3">
      <c r="B41" s="132"/>
      <c r="C41" s="168"/>
      <c r="D41" s="171" t="s">
        <v>4</v>
      </c>
      <c r="E41" s="150" t="s">
        <v>5</v>
      </c>
      <c r="F41" s="150"/>
      <c r="G41" s="439"/>
      <c r="H41" s="133"/>
      <c r="I41" s="132"/>
    </row>
    <row r="42" spans="2:9" ht="15.6" x14ac:dyDescent="0.3">
      <c r="B42" s="132"/>
      <c r="C42" s="155" t="s">
        <v>36</v>
      </c>
      <c r="D42" s="360">
        <f>'2) Tableau budgétaire 2'!D189</f>
        <v>120000</v>
      </c>
      <c r="E42" s="361">
        <f>'2) Tableau budgétaire 2'!E189</f>
        <v>131200.6</v>
      </c>
      <c r="F42" s="361">
        <f>'2) Tableau budgétaire 2'!F189</f>
        <v>0</v>
      </c>
      <c r="G42" s="362">
        <f>'2) Tableau budgétaire 2'!G189</f>
        <v>251200.6</v>
      </c>
      <c r="H42" s="211"/>
      <c r="I42" s="192"/>
    </row>
    <row r="43" spans="2:9" ht="15.6" x14ac:dyDescent="0.3">
      <c r="B43" s="132"/>
      <c r="C43" s="156" t="s">
        <v>37</v>
      </c>
      <c r="D43" s="360">
        <f>'2) Tableau budgétaire 2'!D190</f>
        <v>42000</v>
      </c>
      <c r="E43" s="361">
        <f>'2) Tableau budgétaire 2'!E190</f>
        <v>16710</v>
      </c>
      <c r="F43" s="361">
        <f>'2) Tableau budgétaire 2'!F190</f>
        <v>0</v>
      </c>
      <c r="G43" s="362">
        <f>'2) Tableau budgétaire 2'!G190</f>
        <v>58710</v>
      </c>
      <c r="H43" s="133"/>
      <c r="I43" s="190"/>
    </row>
    <row r="44" spans="2:9" ht="15.6" x14ac:dyDescent="0.3">
      <c r="B44" s="132"/>
      <c r="C44" s="156" t="s">
        <v>38</v>
      </c>
      <c r="D44" s="360">
        <f>'2) Tableau budgétaire 2'!D191</f>
        <v>0</v>
      </c>
      <c r="E44" s="361">
        <f>'2) Tableau budgétaire 2'!E191</f>
        <v>0</v>
      </c>
      <c r="F44" s="361">
        <f>'2) Tableau budgétaire 2'!F191</f>
        <v>0</v>
      </c>
      <c r="G44" s="362">
        <f>'2) Tableau budgétaire 2'!G191</f>
        <v>0</v>
      </c>
      <c r="H44" s="133"/>
      <c r="I44" s="190"/>
    </row>
    <row r="45" spans="2:9" ht="15.6" x14ac:dyDescent="0.3">
      <c r="B45" s="132"/>
      <c r="C45" s="157" t="s">
        <v>39</v>
      </c>
      <c r="D45" s="360">
        <f>'2) Tableau budgétaire 2'!D192</f>
        <v>1229178</v>
      </c>
      <c r="E45" s="361">
        <f>'2) Tableau budgétaire 2'!E192</f>
        <v>501910</v>
      </c>
      <c r="F45" s="361">
        <f>'2) Tableau budgétaire 2'!F192</f>
        <v>0</v>
      </c>
      <c r="G45" s="362">
        <f>'2) Tableau budgétaire 2'!G192</f>
        <v>1731088</v>
      </c>
      <c r="H45" s="133"/>
      <c r="I45" s="190"/>
    </row>
    <row r="46" spans="2:9" ht="15.6" x14ac:dyDescent="0.3">
      <c r="B46" s="132"/>
      <c r="C46" s="156" t="s">
        <v>40</v>
      </c>
      <c r="D46" s="360">
        <f>'2) Tableau budgétaire 2'!D193</f>
        <v>83700</v>
      </c>
      <c r="E46" s="361">
        <f>'2) Tableau budgétaire 2'!E193</f>
        <v>59150</v>
      </c>
      <c r="F46" s="361">
        <f>'2) Tableau budgétaire 2'!F193</f>
        <v>0</v>
      </c>
      <c r="G46" s="362">
        <f>'2) Tableau budgétaire 2'!G193</f>
        <v>142850</v>
      </c>
      <c r="H46" s="133"/>
      <c r="I46" s="190"/>
    </row>
    <row r="47" spans="2:9" ht="15.6" x14ac:dyDescent="0.3">
      <c r="B47" s="132"/>
      <c r="C47" s="156" t="s">
        <v>41</v>
      </c>
      <c r="D47" s="360">
        <f>'2) Tableau budgétaire 2'!D194</f>
        <v>0</v>
      </c>
      <c r="E47" s="361">
        <f>'2) Tableau budgétaire 2'!E194</f>
        <v>0</v>
      </c>
      <c r="F47" s="361">
        <f>'2) Tableau budgétaire 2'!F194</f>
        <v>0</v>
      </c>
      <c r="G47" s="362">
        <f>'2) Tableau budgétaire 2'!G194</f>
        <v>0</v>
      </c>
      <c r="H47" s="133"/>
      <c r="I47" s="190"/>
    </row>
    <row r="48" spans="2:9" ht="15.6" x14ac:dyDescent="0.3">
      <c r="B48" s="132"/>
      <c r="C48" s="156" t="s">
        <v>42</v>
      </c>
      <c r="D48" s="360">
        <f>'2) Tableau budgétaire 2'!D195</f>
        <v>107600</v>
      </c>
      <c r="E48" s="361">
        <f>'2) Tableau budgétaire 2'!E195</f>
        <v>45000</v>
      </c>
      <c r="F48" s="361">
        <f>'2) Tableau budgétaire 2'!F195</f>
        <v>0</v>
      </c>
      <c r="G48" s="362">
        <f>'2) Tableau budgétaire 2'!G195</f>
        <v>152600</v>
      </c>
      <c r="H48" s="133"/>
      <c r="I48" s="190"/>
    </row>
    <row r="49" spans="2:9" ht="15.6" x14ac:dyDescent="0.3">
      <c r="B49" s="132"/>
      <c r="C49" s="214" t="s">
        <v>43</v>
      </c>
      <c r="D49" s="360">
        <f>'2) Tableau budgétaire 2'!D196</f>
        <v>1582478</v>
      </c>
      <c r="E49" s="361">
        <f>'2) Tableau budgétaire 2'!E196</f>
        <v>753970.6</v>
      </c>
      <c r="F49" s="361">
        <f>'2) Tableau budgétaire 2'!F196</f>
        <v>0</v>
      </c>
      <c r="G49" s="362">
        <f>'2) Tableau budgétaire 2'!G196</f>
        <v>2336448.6</v>
      </c>
      <c r="H49" s="133"/>
      <c r="I49" s="190"/>
    </row>
    <row r="50" spans="2:9" ht="15.6" x14ac:dyDescent="0.3">
      <c r="B50" s="132"/>
      <c r="C50" s="214" t="s">
        <v>44</v>
      </c>
      <c r="D50" s="360">
        <f>'2) Tableau budgétaire 2'!D197</f>
        <v>110773.46</v>
      </c>
      <c r="E50" s="361">
        <f>'2) Tableau budgétaire 2'!E197</f>
        <v>52777.942000000003</v>
      </c>
      <c r="F50" s="361">
        <f>'2) Tableau budgétaire 2'!F197</f>
        <v>0</v>
      </c>
      <c r="G50" s="362">
        <f>'2) Tableau budgétaire 2'!G197</f>
        <v>163551.40200000003</v>
      </c>
      <c r="H50" s="133"/>
      <c r="I50" s="190"/>
    </row>
    <row r="51" spans="2:9" ht="16.2" thickBot="1" x14ac:dyDescent="0.35">
      <c r="B51" s="132"/>
      <c r="C51" s="212" t="s">
        <v>45</v>
      </c>
      <c r="D51" s="363">
        <f>'2) Tableau budgétaire 2'!D198</f>
        <v>1693251.46</v>
      </c>
      <c r="E51" s="364">
        <f>'2) Tableau budgétaire 2'!E198</f>
        <v>806748.54200000002</v>
      </c>
      <c r="F51" s="364">
        <f>'2) Tableau budgétaire 2'!F198</f>
        <v>0</v>
      </c>
      <c r="G51" s="365">
        <f>'2) Tableau budgétaire 2'!G198</f>
        <v>2500000.0020000003</v>
      </c>
      <c r="H51" s="133"/>
      <c r="I51" s="190"/>
    </row>
    <row r="53" spans="2:9" x14ac:dyDescent="0.3">
      <c r="B53" s="132"/>
      <c r="C53" s="178"/>
      <c r="D53" s="178"/>
      <c r="E53" s="178"/>
      <c r="F53" s="132"/>
      <c r="G53" s="178"/>
      <c r="H53" s="132"/>
      <c r="I53" s="132"/>
    </row>
    <row r="54" spans="2:9" x14ac:dyDescent="0.3">
      <c r="B54" s="132"/>
      <c r="C54" s="132"/>
      <c r="D54" s="178"/>
      <c r="E54" s="132"/>
      <c r="F54" s="132"/>
      <c r="G54" s="132"/>
      <c r="H54" s="132"/>
      <c r="I54" s="132"/>
    </row>
    <row r="55" spans="2:9" x14ac:dyDescent="0.3">
      <c r="B55" s="132"/>
      <c r="C55" s="132"/>
      <c r="D55" s="178"/>
      <c r="E55" s="132"/>
      <c r="F55" s="132"/>
      <c r="G55" s="132"/>
      <c r="H55" s="132"/>
      <c r="I55" s="132"/>
    </row>
  </sheetData>
  <mergeCells count="13">
    <mergeCell ref="C39:G39"/>
    <mergeCell ref="G40:G41"/>
    <mergeCell ref="B23:C23"/>
    <mergeCell ref="B28:C28"/>
    <mergeCell ref="B29:C29"/>
    <mergeCell ref="B30:C30"/>
    <mergeCell ref="B22:C22"/>
    <mergeCell ref="B1:H1"/>
    <mergeCell ref="B2:H2"/>
    <mergeCell ref="B5:C5"/>
    <mergeCell ref="B10:C10"/>
    <mergeCell ref="B18:C18"/>
    <mergeCell ref="B14:C14"/>
  </mergeCells>
  <pageMargins left="0.70866141732283472" right="0.70866141732283472" top="0.74803149606299213" bottom="0.74803149606299213" header="0.31496062992125984" footer="0.31496062992125984"/>
  <pageSetup paperSize="9" scale="42" fitToHeight="3" orientation="portrait"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504"/>
  <sheetViews>
    <sheetView showGridLines="0" showZeros="0" tabSelected="1" topLeftCell="A12" zoomScale="90" zoomScaleNormal="90" workbookViewId="0">
      <pane xSplit="3" ySplit="1" topLeftCell="D98" activePane="bottomRight" state="frozen"/>
      <selection activeCell="A12" sqref="A12"/>
      <selection pane="topRight" activeCell="D12" sqref="D12"/>
      <selection pane="bottomLeft" activeCell="A13" sqref="A13"/>
      <selection pane="bottomRight" activeCell="I485" sqref="I485"/>
    </sheetView>
  </sheetViews>
  <sheetFormatPr baseColWidth="10" defaultColWidth="9.109375" defaultRowHeight="14.4" x14ac:dyDescent="0.3"/>
  <cols>
    <col min="1" max="1" width="9.109375" style="30"/>
    <col min="2" max="2" width="38" style="30" customWidth="1"/>
    <col min="3" max="3" width="44.6640625" style="30" customWidth="1"/>
    <col min="4" max="4" width="27.6640625" style="30" customWidth="1"/>
    <col min="5" max="5" width="23" style="31" customWidth="1"/>
    <col min="6" max="6" width="23.88671875" style="30" hidden="1" customWidth="1"/>
    <col min="7" max="7" width="19.33203125" style="30" customWidth="1"/>
    <col min="8" max="8" width="26.109375" style="30" customWidth="1"/>
    <col min="9" max="9" width="26.5546875" style="121" customWidth="1"/>
    <col min="10" max="10" width="19.88671875" style="30" customWidth="1"/>
    <col min="11" max="11" width="11" style="131" customWidth="1"/>
    <col min="12" max="12" width="18.109375" style="30" customWidth="1"/>
    <col min="13" max="13" width="17.6640625" style="30" customWidth="1"/>
    <col min="14" max="14" width="26.44140625" style="30" customWidth="1"/>
    <col min="15" max="15" width="22.44140625" style="30" customWidth="1"/>
    <col min="16" max="16" width="29.6640625" style="30" customWidth="1"/>
    <col min="17" max="17" width="23.44140625" style="30" customWidth="1"/>
    <col min="18" max="18" width="18.44140625" style="30" customWidth="1"/>
    <col min="19" max="19" width="17.44140625" style="30" customWidth="1"/>
    <col min="20" max="20" width="25.109375" style="30" customWidth="1"/>
    <col min="21" max="16384" width="9.109375" style="30"/>
  </cols>
  <sheetData>
    <row r="1" spans="2:13" ht="42.6" customHeight="1" x14ac:dyDescent="0.85">
      <c r="B1" s="522" t="s">
        <v>538</v>
      </c>
      <c r="C1" s="522"/>
      <c r="D1" s="522"/>
      <c r="E1" s="522"/>
      <c r="F1" s="522"/>
      <c r="G1" s="522"/>
      <c r="H1" s="522"/>
      <c r="I1" s="522"/>
      <c r="J1" s="522"/>
      <c r="K1" s="522"/>
      <c r="L1" s="522"/>
      <c r="M1" s="522"/>
    </row>
    <row r="2" spans="2:13" ht="47.25" customHeight="1" x14ac:dyDescent="0.85">
      <c r="B2" s="489" t="s">
        <v>46</v>
      </c>
      <c r="C2" s="489"/>
      <c r="D2" s="489"/>
      <c r="E2" s="489"/>
      <c r="F2" s="28"/>
      <c r="G2" s="28"/>
      <c r="H2" s="29"/>
      <c r="I2" s="123"/>
      <c r="J2" s="29"/>
      <c r="K2" s="30"/>
    </row>
    <row r="3" spans="2:13" ht="15.6" x14ac:dyDescent="0.3">
      <c r="B3" s="104"/>
      <c r="K3" s="30"/>
    </row>
    <row r="4" spans="2:13" ht="16.2" thickBot="1" x14ac:dyDescent="0.35">
      <c r="B4" s="33"/>
      <c r="K4" s="30"/>
    </row>
    <row r="5" spans="2:13" ht="36.6" x14ac:dyDescent="0.7">
      <c r="B5" s="89" t="s">
        <v>47</v>
      </c>
      <c r="C5" s="105"/>
      <c r="D5" s="105"/>
      <c r="E5" s="105"/>
      <c r="F5" s="105"/>
      <c r="G5" s="105"/>
      <c r="H5" s="105"/>
      <c r="I5" s="124"/>
      <c r="J5" s="105"/>
      <c r="K5" s="105"/>
      <c r="L5" s="105"/>
      <c r="M5" s="106"/>
    </row>
    <row r="6" spans="2:13" ht="189" customHeight="1" thickBot="1" x14ac:dyDescent="0.45">
      <c r="B6" s="485" t="s">
        <v>48</v>
      </c>
      <c r="C6" s="486"/>
      <c r="D6" s="486"/>
      <c r="E6" s="486"/>
      <c r="F6" s="486"/>
      <c r="G6" s="486"/>
      <c r="H6" s="486"/>
      <c r="I6" s="487"/>
      <c r="J6" s="486"/>
      <c r="K6" s="486"/>
      <c r="L6" s="486"/>
      <c r="M6" s="488"/>
    </row>
    <row r="7" spans="2:13" ht="15.75" customHeight="1" x14ac:dyDescent="0.3">
      <c r="B7" s="34"/>
      <c r="K7" s="30"/>
    </row>
    <row r="8" spans="2:13" ht="15.75" customHeight="1" thickBot="1" x14ac:dyDescent="0.35">
      <c r="K8" s="30"/>
    </row>
    <row r="9" spans="2:13" ht="27" customHeight="1" thickBot="1" x14ac:dyDescent="0.55000000000000004">
      <c r="B9" s="490" t="s">
        <v>49</v>
      </c>
      <c r="C9" s="491"/>
      <c r="D9" s="491"/>
      <c r="E9" s="491"/>
      <c r="F9" s="491"/>
      <c r="G9" s="491"/>
      <c r="H9" s="492"/>
      <c r="I9" s="125"/>
      <c r="K9" s="30"/>
    </row>
    <row r="10" spans="2:13" x14ac:dyDescent="0.3">
      <c r="K10" s="30"/>
    </row>
    <row r="11" spans="2:13" ht="25.5" customHeight="1" x14ac:dyDescent="0.3">
      <c r="D11" s="35"/>
      <c r="E11" s="320"/>
      <c r="F11" s="35"/>
      <c r="G11" s="35"/>
      <c r="H11" s="32"/>
      <c r="I11" s="122"/>
      <c r="J11" s="31"/>
      <c r="K11" s="31"/>
    </row>
    <row r="12" spans="2:13" ht="124.8" x14ac:dyDescent="0.3">
      <c r="B12" s="81" t="s">
        <v>50</v>
      </c>
      <c r="C12" s="81" t="s">
        <v>51</v>
      </c>
      <c r="D12" s="81" t="s">
        <v>531</v>
      </c>
      <c r="E12" s="81" t="s">
        <v>530</v>
      </c>
      <c r="F12" s="81" t="s">
        <v>52</v>
      </c>
      <c r="G12" s="81" t="s">
        <v>53</v>
      </c>
      <c r="H12" s="81" t="s">
        <v>54</v>
      </c>
      <c r="I12" s="81" t="s">
        <v>55</v>
      </c>
      <c r="J12" s="81" t="s">
        <v>56</v>
      </c>
      <c r="K12" s="213" t="s">
        <v>57</v>
      </c>
    </row>
    <row r="13" spans="2:13" ht="18.75" customHeight="1" x14ac:dyDescent="0.3">
      <c r="B13" s="215"/>
      <c r="C13" s="215"/>
      <c r="D13" s="58" t="s">
        <v>4</v>
      </c>
      <c r="E13" s="58" t="s">
        <v>5</v>
      </c>
      <c r="F13" s="58"/>
      <c r="G13" s="58"/>
      <c r="H13" s="215"/>
      <c r="I13" s="216"/>
      <c r="J13" s="215"/>
      <c r="K13" s="215"/>
      <c r="L13" s="345"/>
    </row>
    <row r="14" spans="2:13" ht="45.6" customHeight="1" x14ac:dyDescent="0.3">
      <c r="B14" s="78" t="s">
        <v>58</v>
      </c>
      <c r="C14" s="501" t="s">
        <v>620</v>
      </c>
      <c r="D14" s="502"/>
      <c r="E14" s="502"/>
      <c r="F14" s="502"/>
      <c r="G14" s="502"/>
      <c r="H14" s="502"/>
      <c r="I14" s="502"/>
      <c r="J14" s="503"/>
      <c r="K14" s="393">
        <v>0</v>
      </c>
    </row>
    <row r="15" spans="2:13" ht="46.8" customHeight="1" x14ac:dyDescent="0.3">
      <c r="B15" s="392" t="s">
        <v>59</v>
      </c>
      <c r="C15" s="493" t="s">
        <v>591</v>
      </c>
      <c r="D15" s="493"/>
      <c r="E15" s="493"/>
      <c r="F15" s="493"/>
      <c r="G15" s="493"/>
      <c r="H15" s="493"/>
      <c r="I15" s="494"/>
      <c r="J15" s="493"/>
      <c r="K15" s="391"/>
    </row>
    <row r="16" spans="2:13" ht="62.4" customHeight="1" x14ac:dyDescent="0.3">
      <c r="B16" s="495" t="s">
        <v>535</v>
      </c>
      <c r="C16" s="273" t="s">
        <v>539</v>
      </c>
      <c r="D16" s="304">
        <v>120000</v>
      </c>
      <c r="E16" s="321"/>
      <c r="F16" s="304"/>
      <c r="G16" s="305">
        <f>D16+E16+F16</f>
        <v>120000</v>
      </c>
      <c r="H16" s="177"/>
      <c r="I16" s="182"/>
      <c r="J16" s="274"/>
      <c r="K16" s="184">
        <v>4</v>
      </c>
      <c r="M16" s="174"/>
    </row>
    <row r="17" spans="2:13" ht="17.399999999999999" hidden="1" x14ac:dyDescent="0.3">
      <c r="B17" s="496"/>
      <c r="C17" s="273"/>
      <c r="D17" s="304"/>
      <c r="E17" s="321"/>
      <c r="F17" s="304"/>
      <c r="G17" s="305">
        <f t="shared" ref="G17:G21" si="0">D17+E17+F17</f>
        <v>0</v>
      </c>
      <c r="H17" s="177"/>
      <c r="I17" s="182"/>
      <c r="J17" s="274"/>
      <c r="K17" s="184"/>
      <c r="M17" s="174"/>
    </row>
    <row r="18" spans="2:13" ht="17.399999999999999" hidden="1" x14ac:dyDescent="0.3">
      <c r="B18" s="496"/>
      <c r="C18" s="273"/>
      <c r="D18" s="304"/>
      <c r="E18" s="321"/>
      <c r="F18" s="304"/>
      <c r="G18" s="305">
        <f t="shared" si="0"/>
        <v>0</v>
      </c>
      <c r="H18" s="177"/>
      <c r="I18" s="182"/>
      <c r="J18" s="274"/>
      <c r="K18" s="184"/>
      <c r="M18" s="174"/>
    </row>
    <row r="19" spans="2:13" ht="17.399999999999999" hidden="1" x14ac:dyDescent="0.3">
      <c r="B19" s="496"/>
      <c r="C19" s="273"/>
      <c r="D19" s="304"/>
      <c r="E19" s="321"/>
      <c r="F19" s="304"/>
      <c r="G19" s="305">
        <f t="shared" si="0"/>
        <v>0</v>
      </c>
      <c r="H19" s="177"/>
      <c r="I19" s="182"/>
      <c r="J19" s="274"/>
      <c r="K19" s="184"/>
      <c r="M19" s="174"/>
    </row>
    <row r="20" spans="2:13" ht="17.399999999999999" hidden="1" x14ac:dyDescent="0.3">
      <c r="B20" s="496"/>
      <c r="C20" s="273"/>
      <c r="D20" s="304"/>
      <c r="E20" s="321"/>
      <c r="F20" s="304"/>
      <c r="G20" s="305">
        <f t="shared" si="0"/>
        <v>0</v>
      </c>
      <c r="H20" s="177"/>
      <c r="I20" s="182"/>
      <c r="J20" s="274"/>
      <c r="K20" s="184"/>
      <c r="M20" s="174"/>
    </row>
    <row r="21" spans="2:13" ht="17.399999999999999" hidden="1" x14ac:dyDescent="0.3">
      <c r="B21" s="497"/>
      <c r="C21" s="273"/>
      <c r="D21" s="304"/>
      <c r="E21" s="321"/>
      <c r="F21" s="304"/>
      <c r="G21" s="305">
        <f t="shared" si="0"/>
        <v>0</v>
      </c>
      <c r="H21" s="177"/>
      <c r="I21" s="182"/>
      <c r="J21" s="274"/>
      <c r="K21" s="184"/>
      <c r="M21" s="174"/>
    </row>
    <row r="22" spans="2:13" ht="46.8" x14ac:dyDescent="0.3">
      <c r="B22" s="495" t="s">
        <v>536</v>
      </c>
      <c r="C22" s="275" t="s">
        <v>540</v>
      </c>
      <c r="D22" s="304">
        <v>100000</v>
      </c>
      <c r="E22" s="321"/>
      <c r="F22" s="304"/>
      <c r="G22" s="305">
        <f t="shared" ref="G22:G36" si="1">D22+E22+F22</f>
        <v>100000</v>
      </c>
      <c r="H22" s="177"/>
      <c r="I22" s="182"/>
      <c r="J22" s="276"/>
      <c r="K22" s="184">
        <v>4</v>
      </c>
    </row>
    <row r="23" spans="2:13" ht="15.6" hidden="1" x14ac:dyDescent="0.3">
      <c r="B23" s="496"/>
      <c r="C23" s="275"/>
      <c r="D23" s="304"/>
      <c r="E23" s="321"/>
      <c r="F23" s="304"/>
      <c r="G23" s="305">
        <f t="shared" si="1"/>
        <v>0</v>
      </c>
      <c r="H23" s="177"/>
      <c r="I23" s="182"/>
      <c r="J23" s="276"/>
      <c r="K23" s="184"/>
    </row>
    <row r="24" spans="2:13" ht="15.6" hidden="1" x14ac:dyDescent="0.3">
      <c r="B24" s="496"/>
      <c r="C24" s="275"/>
      <c r="D24" s="304"/>
      <c r="E24" s="321"/>
      <c r="F24" s="304"/>
      <c r="G24" s="305">
        <f t="shared" si="1"/>
        <v>0</v>
      </c>
      <c r="H24" s="177"/>
      <c r="I24" s="182"/>
      <c r="J24" s="276"/>
      <c r="K24" s="184"/>
    </row>
    <row r="25" spans="2:13" ht="15.6" hidden="1" x14ac:dyDescent="0.3">
      <c r="B25" s="496"/>
      <c r="C25" s="275"/>
      <c r="D25" s="304"/>
      <c r="E25" s="321"/>
      <c r="F25" s="304"/>
      <c r="G25" s="305">
        <f t="shared" si="1"/>
        <v>0</v>
      </c>
      <c r="H25" s="177"/>
      <c r="I25" s="182"/>
      <c r="J25" s="276"/>
      <c r="K25" s="184"/>
    </row>
    <row r="26" spans="2:13" ht="15.6" hidden="1" x14ac:dyDescent="0.3">
      <c r="B26" s="497"/>
      <c r="C26" s="275"/>
      <c r="D26" s="304"/>
      <c r="E26" s="321"/>
      <c r="F26" s="304"/>
      <c r="G26" s="305">
        <f t="shared" si="1"/>
        <v>0</v>
      </c>
      <c r="H26" s="177"/>
      <c r="I26" s="182"/>
      <c r="J26" s="276"/>
      <c r="K26" s="184"/>
    </row>
    <row r="27" spans="2:13" ht="81.599999999999994" customHeight="1" x14ac:dyDescent="0.3">
      <c r="B27" s="495" t="s">
        <v>537</v>
      </c>
      <c r="C27" s="275" t="s">
        <v>541</v>
      </c>
      <c r="D27" s="304">
        <v>80000</v>
      </c>
      <c r="E27" s="321"/>
      <c r="F27" s="304"/>
      <c r="G27" s="305">
        <f t="shared" si="1"/>
        <v>80000</v>
      </c>
      <c r="H27" s="177">
        <v>0.3</v>
      </c>
      <c r="I27" s="182"/>
      <c r="J27" s="276"/>
      <c r="K27" s="184">
        <v>4</v>
      </c>
    </row>
    <row r="28" spans="2:13" ht="15.6" hidden="1" x14ac:dyDescent="0.3">
      <c r="B28" s="496"/>
      <c r="C28" s="275"/>
      <c r="D28" s="304"/>
      <c r="E28" s="321"/>
      <c r="F28" s="304"/>
      <c r="G28" s="305">
        <f t="shared" si="1"/>
        <v>0</v>
      </c>
      <c r="H28" s="177"/>
      <c r="I28" s="182"/>
      <c r="J28" s="276"/>
      <c r="K28" s="184"/>
    </row>
    <row r="29" spans="2:13" ht="15.6" hidden="1" x14ac:dyDescent="0.3">
      <c r="B29" s="496"/>
      <c r="C29" s="275"/>
      <c r="D29" s="304"/>
      <c r="E29" s="321"/>
      <c r="F29" s="304"/>
      <c r="G29" s="305">
        <f t="shared" si="1"/>
        <v>0</v>
      </c>
      <c r="H29" s="177"/>
      <c r="I29" s="182"/>
      <c r="J29" s="276"/>
      <c r="K29" s="184"/>
    </row>
    <row r="30" spans="2:13" ht="15.6" hidden="1" x14ac:dyDescent="0.3">
      <c r="B30" s="496"/>
      <c r="C30" s="275"/>
      <c r="D30" s="304"/>
      <c r="E30" s="321"/>
      <c r="F30" s="304"/>
      <c r="G30" s="305">
        <f t="shared" si="1"/>
        <v>0</v>
      </c>
      <c r="H30" s="177"/>
      <c r="I30" s="182"/>
      <c r="J30" s="276"/>
      <c r="K30" s="184"/>
    </row>
    <row r="31" spans="2:13" ht="15.6" hidden="1" x14ac:dyDescent="0.3">
      <c r="B31" s="497"/>
      <c r="C31" s="275"/>
      <c r="D31" s="304"/>
      <c r="E31" s="321"/>
      <c r="F31" s="304"/>
      <c r="G31" s="305">
        <f t="shared" si="1"/>
        <v>0</v>
      </c>
      <c r="H31" s="177"/>
      <c r="I31" s="182"/>
      <c r="J31" s="276"/>
      <c r="K31" s="184"/>
    </row>
    <row r="32" spans="2:13" ht="130.80000000000001" customHeight="1" x14ac:dyDescent="0.3">
      <c r="B32" s="500" t="s">
        <v>590</v>
      </c>
      <c r="C32" s="275" t="s">
        <v>542</v>
      </c>
      <c r="D32" s="304">
        <v>80000</v>
      </c>
      <c r="E32" s="321"/>
      <c r="F32" s="304"/>
      <c r="G32" s="305">
        <f t="shared" si="1"/>
        <v>80000</v>
      </c>
      <c r="H32" s="177">
        <v>0.3</v>
      </c>
      <c r="I32" s="182"/>
      <c r="J32" s="276"/>
      <c r="K32" s="218">
        <v>4</v>
      </c>
    </row>
    <row r="33" spans="1:13" ht="15.6" hidden="1" x14ac:dyDescent="0.3">
      <c r="B33" s="500"/>
      <c r="C33" s="277"/>
      <c r="D33" s="304"/>
      <c r="E33" s="321"/>
      <c r="F33" s="304"/>
      <c r="G33" s="305">
        <f t="shared" si="1"/>
        <v>0</v>
      </c>
      <c r="H33" s="177"/>
      <c r="I33" s="182"/>
      <c r="J33" s="276"/>
      <c r="K33" s="263"/>
    </row>
    <row r="34" spans="1:13" ht="15.6" hidden="1" x14ac:dyDescent="0.3">
      <c r="B34" s="500"/>
      <c r="C34" s="277"/>
      <c r="D34" s="304"/>
      <c r="E34" s="321"/>
      <c r="F34" s="304"/>
      <c r="G34" s="305">
        <f t="shared" si="1"/>
        <v>0</v>
      </c>
      <c r="H34" s="177"/>
      <c r="I34" s="182"/>
      <c r="J34" s="276"/>
      <c r="K34" s="263"/>
    </row>
    <row r="35" spans="1:13" ht="15.6" hidden="1" x14ac:dyDescent="0.3">
      <c r="B35" s="500"/>
      <c r="C35" s="277"/>
      <c r="D35" s="304"/>
      <c r="E35" s="321"/>
      <c r="F35" s="304"/>
      <c r="G35" s="305">
        <f t="shared" si="1"/>
        <v>0</v>
      </c>
      <c r="H35" s="177"/>
      <c r="I35" s="182"/>
      <c r="J35" s="276"/>
      <c r="K35" s="263"/>
    </row>
    <row r="36" spans="1:13" ht="15.6" hidden="1" x14ac:dyDescent="0.3">
      <c r="B36" s="500"/>
      <c r="C36" s="397"/>
      <c r="D36" s="398"/>
      <c r="E36" s="399"/>
      <c r="F36" s="398"/>
      <c r="G36" s="400">
        <f t="shared" si="1"/>
        <v>0</v>
      </c>
      <c r="H36" s="401"/>
      <c r="I36" s="402"/>
      <c r="J36" s="403"/>
      <c r="K36" s="263"/>
    </row>
    <row r="37" spans="1:13" ht="15.6" x14ac:dyDescent="0.3">
      <c r="A37" s="31"/>
      <c r="B37" s="272"/>
      <c r="C37" s="79" t="s">
        <v>60</v>
      </c>
      <c r="D37" s="306">
        <f>SUM(D16:D36)</f>
        <v>380000</v>
      </c>
      <c r="E37" s="306">
        <f>SUM(E16:E36)</f>
        <v>0</v>
      </c>
      <c r="F37" s="306">
        <f>SUM(F16:F32)</f>
        <v>0</v>
      </c>
      <c r="G37" s="306">
        <f>SUM(G16:G36)</f>
        <v>380000</v>
      </c>
      <c r="H37" s="306">
        <f>(H16*G16)+(H17*G17)+(H18*G18)+(H19*G19)+(H20*G20)+(H21*G21)+(H22*G22)+(H23*G23)+(H24*G24)+(H25*G25)+(H26*G26)+(H27*G27)+(H28*G28)+(H29*G29)+(H30*G30)+(H31*G31)+(H32*G32)+(H33*G33)+(H34*G34)+(H35*G35)+(H36*G36)</f>
        <v>48000</v>
      </c>
      <c r="I37" s="306">
        <f>SUM(I16:I36)</f>
        <v>0</v>
      </c>
      <c r="J37" s="278"/>
      <c r="K37" s="404"/>
    </row>
    <row r="38" spans="1:13" ht="43.95" customHeight="1" x14ac:dyDescent="0.3">
      <c r="A38" s="31"/>
      <c r="B38" s="78" t="s">
        <v>61</v>
      </c>
      <c r="C38" s="443" t="s">
        <v>532</v>
      </c>
      <c r="D38" s="443"/>
      <c r="E38" s="443"/>
      <c r="F38" s="443"/>
      <c r="G38" s="443"/>
      <c r="H38" s="443"/>
      <c r="I38" s="444"/>
      <c r="J38" s="443"/>
      <c r="K38" s="405"/>
    </row>
    <row r="39" spans="1:13" ht="21" customHeight="1" x14ac:dyDescent="0.3">
      <c r="A39" s="31"/>
      <c r="B39" s="495" t="s">
        <v>592</v>
      </c>
      <c r="C39" s="275" t="s">
        <v>545</v>
      </c>
      <c r="D39" s="304">
        <v>18000</v>
      </c>
      <c r="E39" s="223"/>
      <c r="F39" s="180"/>
      <c r="G39" s="305">
        <f t="shared" ref="G39:G66" si="2">D39+E39+F39</f>
        <v>18000</v>
      </c>
      <c r="H39" s="177">
        <v>0.4</v>
      </c>
      <c r="I39" s="182"/>
      <c r="J39" s="276"/>
      <c r="K39" s="184">
        <v>4</v>
      </c>
      <c r="M39" s="175"/>
    </row>
    <row r="40" spans="1:13" ht="21" customHeight="1" x14ac:dyDescent="0.3">
      <c r="A40" s="31"/>
      <c r="B40" s="496"/>
      <c r="C40" s="275" t="s">
        <v>558</v>
      </c>
      <c r="D40" s="304">
        <v>35000</v>
      </c>
      <c r="E40" s="223"/>
      <c r="F40" s="180"/>
      <c r="G40" s="305">
        <f t="shared" si="2"/>
        <v>35000</v>
      </c>
      <c r="H40" s="177">
        <v>0.4</v>
      </c>
      <c r="I40" s="182"/>
      <c r="J40" s="276"/>
      <c r="K40" s="184">
        <v>4</v>
      </c>
      <c r="M40" s="179"/>
    </row>
    <row r="41" spans="1:13" ht="21" customHeight="1" x14ac:dyDescent="0.3">
      <c r="A41" s="31"/>
      <c r="B41" s="497"/>
      <c r="C41" s="275" t="s">
        <v>565</v>
      </c>
      <c r="D41" s="304">
        <v>4000</v>
      </c>
      <c r="E41" s="223"/>
      <c r="F41" s="180"/>
      <c r="G41" s="305">
        <f t="shared" si="2"/>
        <v>4000</v>
      </c>
      <c r="H41" s="177">
        <v>0.4</v>
      </c>
      <c r="I41" s="182"/>
      <c r="J41" s="276"/>
      <c r="K41" s="184">
        <v>5</v>
      </c>
      <c r="M41" s="179"/>
    </row>
    <row r="42" spans="1:13" ht="21" customHeight="1" x14ac:dyDescent="0.3">
      <c r="A42" s="31"/>
      <c r="B42" s="498" t="s">
        <v>617</v>
      </c>
      <c r="C42" s="273" t="s">
        <v>566</v>
      </c>
      <c r="D42" s="359">
        <v>30000</v>
      </c>
      <c r="E42" s="359">
        <v>20000</v>
      </c>
      <c r="F42" s="257"/>
      <c r="G42" s="378">
        <f t="shared" si="2"/>
        <v>50000</v>
      </c>
      <c r="H42" s="177">
        <v>0.4</v>
      </c>
      <c r="I42" s="182"/>
      <c r="J42" s="276"/>
      <c r="K42" s="184">
        <v>4</v>
      </c>
    </row>
    <row r="43" spans="1:13" ht="21" customHeight="1" x14ac:dyDescent="0.3">
      <c r="A43" s="31"/>
      <c r="B43" s="499"/>
      <c r="C43" s="273" t="s">
        <v>546</v>
      </c>
      <c r="D43" s="359">
        <v>50000</v>
      </c>
      <c r="E43" s="359">
        <v>30000</v>
      </c>
      <c r="F43" s="257"/>
      <c r="G43" s="378">
        <f t="shared" ref="G43:G45" si="3">D43+E43+F43</f>
        <v>80000</v>
      </c>
      <c r="H43" s="177">
        <v>0.4</v>
      </c>
      <c r="I43" s="182"/>
      <c r="J43" s="276"/>
      <c r="K43" s="184">
        <v>4</v>
      </c>
      <c r="M43" s="179"/>
    </row>
    <row r="44" spans="1:13" ht="21" customHeight="1" x14ac:dyDescent="0.3">
      <c r="A44" s="31"/>
      <c r="B44" s="499"/>
      <c r="C44" s="273" t="s">
        <v>547</v>
      </c>
      <c r="D44" s="359">
        <v>7000</v>
      </c>
      <c r="E44" s="323"/>
      <c r="F44" s="257"/>
      <c r="G44" s="378">
        <f t="shared" si="3"/>
        <v>7000</v>
      </c>
      <c r="H44" s="177">
        <v>0.4</v>
      </c>
      <c r="I44" s="182"/>
      <c r="J44" s="276"/>
      <c r="K44" s="184">
        <v>5</v>
      </c>
      <c r="M44" s="179"/>
    </row>
    <row r="45" spans="1:13" ht="21" customHeight="1" x14ac:dyDescent="0.3">
      <c r="A45" s="31"/>
      <c r="B45" s="499"/>
      <c r="C45" s="273" t="s">
        <v>549</v>
      </c>
      <c r="D45" s="359">
        <v>3000</v>
      </c>
      <c r="E45" s="323"/>
      <c r="F45" s="257"/>
      <c r="G45" s="378">
        <f t="shared" si="3"/>
        <v>3000</v>
      </c>
      <c r="H45" s="177">
        <v>0.4</v>
      </c>
      <c r="I45" s="182"/>
      <c r="J45" s="276"/>
      <c r="K45" s="184">
        <v>5</v>
      </c>
      <c r="M45" s="179"/>
    </row>
    <row r="46" spans="1:13" ht="15.6" hidden="1" x14ac:dyDescent="0.3">
      <c r="A46" s="31"/>
      <c r="B46" s="499"/>
      <c r="C46" s="273"/>
      <c r="D46" s="359"/>
      <c r="E46" s="323"/>
      <c r="F46" s="257"/>
      <c r="G46" s="378">
        <f>D46+E46+F46</f>
        <v>0</v>
      </c>
      <c r="H46" s="177"/>
      <c r="I46" s="182"/>
      <c r="J46" s="276"/>
      <c r="K46" s="184"/>
    </row>
    <row r="47" spans="1:13" ht="33" customHeight="1" x14ac:dyDescent="0.3">
      <c r="A47" s="31"/>
      <c r="B47" s="495" t="s">
        <v>593</v>
      </c>
      <c r="C47" s="275" t="s">
        <v>548</v>
      </c>
      <c r="D47" s="304">
        <v>30000</v>
      </c>
      <c r="E47" s="223"/>
      <c r="F47" s="180"/>
      <c r="G47" s="305">
        <f t="shared" si="2"/>
        <v>30000</v>
      </c>
      <c r="H47" s="177">
        <v>0.4</v>
      </c>
      <c r="I47" s="182"/>
      <c r="J47" s="276"/>
      <c r="K47" s="184">
        <v>4</v>
      </c>
    </row>
    <row r="48" spans="1:13" ht="33" customHeight="1" x14ac:dyDescent="0.3">
      <c r="A48" s="31"/>
      <c r="B48" s="496"/>
      <c r="C48" s="275" t="s">
        <v>550</v>
      </c>
      <c r="D48" s="304">
        <v>4200</v>
      </c>
      <c r="E48" s="223"/>
      <c r="F48" s="180"/>
      <c r="G48" s="305">
        <f t="shared" si="2"/>
        <v>4200</v>
      </c>
      <c r="H48" s="177">
        <v>0.4</v>
      </c>
      <c r="I48" s="182"/>
      <c r="J48" s="276"/>
      <c r="K48" s="184">
        <v>5</v>
      </c>
    </row>
    <row r="49" spans="1:13" ht="15.6" hidden="1" x14ac:dyDescent="0.3">
      <c r="A49" s="31"/>
      <c r="B49" s="496"/>
      <c r="C49" s="277"/>
      <c r="D49" s="264"/>
      <c r="E49" s="223"/>
      <c r="F49" s="180"/>
      <c r="G49" s="217">
        <f t="shared" si="2"/>
        <v>0</v>
      </c>
      <c r="H49" s="177"/>
      <c r="I49" s="182"/>
      <c r="J49" s="276"/>
      <c r="K49" s="184"/>
    </row>
    <row r="50" spans="1:13" ht="15.6" hidden="1" x14ac:dyDescent="0.3">
      <c r="A50" s="31"/>
      <c r="B50" s="496"/>
      <c r="C50" s="277"/>
      <c r="D50" s="264"/>
      <c r="E50" s="223"/>
      <c r="F50" s="180"/>
      <c r="G50" s="217">
        <f t="shared" si="2"/>
        <v>0</v>
      </c>
      <c r="H50" s="177"/>
      <c r="I50" s="182"/>
      <c r="J50" s="276"/>
      <c r="K50" s="184"/>
      <c r="M50" s="179"/>
    </row>
    <row r="51" spans="1:13" ht="15.6" hidden="1" x14ac:dyDescent="0.3">
      <c r="A51" s="31"/>
      <c r="B51" s="497"/>
      <c r="C51" s="277"/>
      <c r="D51" s="264"/>
      <c r="E51" s="223"/>
      <c r="F51" s="180"/>
      <c r="G51" s="217">
        <f t="shared" si="2"/>
        <v>0</v>
      </c>
      <c r="H51" s="177"/>
      <c r="I51" s="182"/>
      <c r="J51" s="276"/>
      <c r="K51" s="184"/>
    </row>
    <row r="52" spans="1:13" ht="31.2" hidden="1" customHeight="1" x14ac:dyDescent="0.3">
      <c r="A52" s="31"/>
      <c r="B52" s="495"/>
      <c r="C52" s="279"/>
      <c r="D52" s="180"/>
      <c r="E52" s="223"/>
      <c r="F52" s="180"/>
      <c r="G52" s="217">
        <f t="shared" si="2"/>
        <v>0</v>
      </c>
      <c r="H52" s="177"/>
      <c r="I52" s="182"/>
      <c r="J52" s="276"/>
      <c r="K52" s="184"/>
    </row>
    <row r="53" spans="1:13" ht="15.6" hidden="1" x14ac:dyDescent="0.3">
      <c r="A53" s="31"/>
      <c r="B53" s="496"/>
      <c r="C53" s="279"/>
      <c r="D53" s="180"/>
      <c r="E53" s="223"/>
      <c r="F53" s="180"/>
      <c r="G53" s="217">
        <f t="shared" si="2"/>
        <v>0</v>
      </c>
      <c r="H53" s="177"/>
      <c r="I53" s="182"/>
      <c r="J53" s="276"/>
      <c r="K53" s="184"/>
      <c r="M53" s="179"/>
    </row>
    <row r="54" spans="1:13" ht="15.6" hidden="1" x14ac:dyDescent="0.3">
      <c r="A54" s="31"/>
      <c r="B54" s="496"/>
      <c r="C54" s="279"/>
      <c r="D54" s="180"/>
      <c r="E54" s="223"/>
      <c r="F54" s="180"/>
      <c r="G54" s="217">
        <f t="shared" si="2"/>
        <v>0</v>
      </c>
      <c r="H54" s="177"/>
      <c r="I54" s="182"/>
      <c r="J54" s="276"/>
      <c r="K54" s="184"/>
    </row>
    <row r="55" spans="1:13" ht="15.6" hidden="1" x14ac:dyDescent="0.3">
      <c r="A55" s="31"/>
      <c r="B55" s="496"/>
      <c r="C55" s="279"/>
      <c r="D55" s="180"/>
      <c r="E55" s="223"/>
      <c r="F55" s="180"/>
      <c r="G55" s="217">
        <f t="shared" si="2"/>
        <v>0</v>
      </c>
      <c r="H55" s="177"/>
      <c r="I55" s="182"/>
      <c r="J55" s="276"/>
      <c r="K55" s="184"/>
    </row>
    <row r="56" spans="1:13" ht="15.6" hidden="1" x14ac:dyDescent="0.3">
      <c r="A56" s="31"/>
      <c r="B56" s="497"/>
      <c r="C56" s="279"/>
      <c r="D56" s="180"/>
      <c r="E56" s="223"/>
      <c r="F56" s="180"/>
      <c r="G56" s="217">
        <f t="shared" si="2"/>
        <v>0</v>
      </c>
      <c r="H56" s="177"/>
      <c r="I56" s="182"/>
      <c r="J56" s="276"/>
      <c r="K56" s="184"/>
    </row>
    <row r="57" spans="1:13" ht="31.2" hidden="1" customHeight="1" x14ac:dyDescent="0.3">
      <c r="A57" s="31"/>
      <c r="B57" s="495"/>
      <c r="C57" s="279"/>
      <c r="D57" s="180"/>
      <c r="E57" s="223"/>
      <c r="F57" s="180"/>
      <c r="G57" s="217">
        <f t="shared" si="2"/>
        <v>0</v>
      </c>
      <c r="H57" s="177"/>
      <c r="I57" s="182"/>
      <c r="J57" s="276"/>
      <c r="K57" s="184"/>
    </row>
    <row r="58" spans="1:13" ht="15.6" hidden="1" x14ac:dyDescent="0.3">
      <c r="A58" s="31"/>
      <c r="B58" s="496"/>
      <c r="C58" s="279"/>
      <c r="D58" s="180"/>
      <c r="E58" s="223"/>
      <c r="F58" s="180"/>
      <c r="G58" s="217">
        <f t="shared" si="2"/>
        <v>0</v>
      </c>
      <c r="H58" s="177"/>
      <c r="I58" s="182"/>
      <c r="J58" s="276"/>
      <c r="K58" s="184"/>
      <c r="M58" s="179"/>
    </row>
    <row r="59" spans="1:13" ht="15.6" hidden="1" x14ac:dyDescent="0.3">
      <c r="A59" s="31"/>
      <c r="B59" s="496"/>
      <c r="C59" s="279"/>
      <c r="D59" s="180"/>
      <c r="E59" s="223"/>
      <c r="F59" s="180"/>
      <c r="G59" s="217">
        <f t="shared" si="2"/>
        <v>0</v>
      </c>
      <c r="H59" s="177"/>
      <c r="I59" s="182"/>
      <c r="J59" s="276"/>
      <c r="K59" s="184"/>
    </row>
    <row r="60" spans="1:13" ht="15.6" hidden="1" x14ac:dyDescent="0.3">
      <c r="A60" s="31"/>
      <c r="B60" s="496"/>
      <c r="C60" s="279"/>
      <c r="D60" s="180"/>
      <c r="E60" s="223"/>
      <c r="F60" s="180"/>
      <c r="G60" s="217">
        <f t="shared" si="2"/>
        <v>0</v>
      </c>
      <c r="H60" s="177"/>
      <c r="I60" s="182"/>
      <c r="J60" s="276"/>
      <c r="K60" s="184"/>
    </row>
    <row r="61" spans="1:13" ht="15.6" hidden="1" x14ac:dyDescent="0.3">
      <c r="A61" s="31"/>
      <c r="B61" s="497"/>
      <c r="C61" s="279"/>
      <c r="D61" s="180"/>
      <c r="E61" s="223"/>
      <c r="F61" s="180"/>
      <c r="G61" s="217">
        <f t="shared" si="2"/>
        <v>0</v>
      </c>
      <c r="H61" s="177"/>
      <c r="I61" s="182"/>
      <c r="J61" s="276"/>
      <c r="K61" s="184"/>
    </row>
    <row r="62" spans="1:13" ht="51.6" hidden="1" customHeight="1" x14ac:dyDescent="0.3">
      <c r="A62" s="31"/>
      <c r="B62" s="495"/>
      <c r="C62" s="279"/>
      <c r="D62" s="180"/>
      <c r="E62" s="223"/>
      <c r="F62" s="180"/>
      <c r="G62" s="217">
        <f t="shared" si="2"/>
        <v>0</v>
      </c>
      <c r="H62" s="177"/>
      <c r="I62" s="182"/>
      <c r="J62" s="276"/>
      <c r="K62" s="184"/>
      <c r="M62" s="179"/>
    </row>
    <row r="63" spans="1:13" ht="15.6" hidden="1" x14ac:dyDescent="0.3">
      <c r="A63" s="31"/>
      <c r="B63" s="496"/>
      <c r="C63" s="279"/>
      <c r="D63" s="180"/>
      <c r="E63" s="223"/>
      <c r="F63" s="180"/>
      <c r="G63" s="217">
        <f t="shared" si="2"/>
        <v>0</v>
      </c>
      <c r="H63" s="177"/>
      <c r="I63" s="182"/>
      <c r="J63" s="276"/>
      <c r="K63" s="184"/>
    </row>
    <row r="64" spans="1:13" ht="15.6" hidden="1" x14ac:dyDescent="0.3">
      <c r="A64" s="31"/>
      <c r="B64" s="496"/>
      <c r="C64" s="279"/>
      <c r="D64" s="180"/>
      <c r="E64" s="223"/>
      <c r="F64" s="180"/>
      <c r="G64" s="217">
        <f t="shared" si="2"/>
        <v>0</v>
      </c>
      <c r="H64" s="177"/>
      <c r="I64" s="182"/>
      <c r="J64" s="276"/>
      <c r="K64" s="184"/>
    </row>
    <row r="65" spans="1:11" ht="15.6" hidden="1" x14ac:dyDescent="0.3">
      <c r="A65" s="31"/>
      <c r="B65" s="496"/>
      <c r="C65" s="269"/>
      <c r="D65" s="180"/>
      <c r="E65" s="223"/>
      <c r="F65" s="180"/>
      <c r="G65" s="217">
        <f t="shared" si="2"/>
        <v>0</v>
      </c>
      <c r="H65" s="219"/>
      <c r="I65" s="220"/>
      <c r="J65" s="278"/>
      <c r="K65" s="184"/>
    </row>
    <row r="66" spans="1:11" ht="15.6" hidden="1" x14ac:dyDescent="0.3">
      <c r="A66" s="31"/>
      <c r="B66" s="497"/>
      <c r="C66" s="269"/>
      <c r="D66" s="180"/>
      <c r="E66" s="223"/>
      <c r="F66" s="180"/>
      <c r="G66" s="217">
        <f t="shared" si="2"/>
        <v>0</v>
      </c>
      <c r="H66" s="219"/>
      <c r="I66" s="220"/>
      <c r="J66" s="278"/>
      <c r="K66" s="184"/>
    </row>
    <row r="67" spans="1:11" ht="15.6" x14ac:dyDescent="0.3">
      <c r="A67" s="31"/>
      <c r="B67" s="272"/>
      <c r="C67" s="79" t="s">
        <v>62</v>
      </c>
      <c r="D67" s="306">
        <f>SUM(D39:D66)</f>
        <v>181200</v>
      </c>
      <c r="E67" s="306">
        <f>SUM(E39:E66)</f>
        <v>50000</v>
      </c>
      <c r="F67" s="306">
        <f>SUM(F39:F66)</f>
        <v>0</v>
      </c>
      <c r="G67" s="306">
        <f>SUM(G39:G66)</f>
        <v>231200</v>
      </c>
      <c r="H67" s="306">
        <f>(H39*G39)+(H40*G40)+(H41*G41)+(H42*G42)+(H43*G43)+(H44*G44)+(H45*G45)+(H46*G46)+(H47*G47)+(H48*G48)+(H49*G49)+(H50*G50)+(H51*G51)+(H52*G52)+(H53*G53)+(H54*G54)+(H55*G55)+(H56*G56)+(H57*G57)+(H58*G58)+(H59*G59)+(H60*G60)+(H61*G61)+(H62*G62)+(H63*G63)+(H64*G64)+(H65*G65)+(H66*G66)</f>
        <v>92480</v>
      </c>
      <c r="I67" s="306">
        <f>SUM(I39:I66)</f>
        <v>0</v>
      </c>
      <c r="J67" s="278"/>
      <c r="K67" s="394"/>
    </row>
    <row r="68" spans="1:11" ht="25.95" customHeight="1" x14ac:dyDescent="0.3">
      <c r="A68" s="31"/>
      <c r="B68" s="78" t="s">
        <v>63</v>
      </c>
      <c r="C68" s="459" t="s">
        <v>64</v>
      </c>
      <c r="D68" s="460"/>
      <c r="E68" s="460"/>
      <c r="F68" s="460"/>
      <c r="G68" s="460"/>
      <c r="H68" s="460"/>
      <c r="I68" s="460"/>
      <c r="J68" s="462"/>
      <c r="K68" s="395"/>
    </row>
    <row r="69" spans="1:11" ht="21" customHeight="1" x14ac:dyDescent="0.3">
      <c r="A69" s="31"/>
      <c r="B69" s="504" t="s">
        <v>594</v>
      </c>
      <c r="C69" s="280" t="s">
        <v>580</v>
      </c>
      <c r="D69" s="304"/>
      <c r="E69" s="321"/>
      <c r="F69" s="180"/>
      <c r="G69" s="305">
        <f t="shared" ref="G69:G77" si="4">D69+E69+F69</f>
        <v>0</v>
      </c>
      <c r="H69" s="177">
        <v>0.35</v>
      </c>
      <c r="I69" s="182"/>
      <c r="J69" s="276"/>
      <c r="K69" s="184">
        <v>4</v>
      </c>
    </row>
    <row r="70" spans="1:11" ht="21" customHeight="1" x14ac:dyDescent="0.3">
      <c r="A70" s="31"/>
      <c r="B70" s="505"/>
      <c r="C70" s="281" t="s">
        <v>581</v>
      </c>
      <c r="D70" s="304"/>
      <c r="E70" s="321">
        <v>30000</v>
      </c>
      <c r="F70" s="180"/>
      <c r="G70" s="305">
        <f t="shared" si="4"/>
        <v>30000</v>
      </c>
      <c r="H70" s="177">
        <v>0.35</v>
      </c>
      <c r="I70" s="182"/>
      <c r="J70" s="276"/>
      <c r="K70" s="184">
        <v>4</v>
      </c>
    </row>
    <row r="71" spans="1:11" ht="21" customHeight="1" x14ac:dyDescent="0.3">
      <c r="A71" s="31"/>
      <c r="B71" s="505"/>
      <c r="C71" s="282" t="s">
        <v>598</v>
      </c>
      <c r="D71" s="304"/>
      <c r="E71" s="321">
        <v>1000</v>
      </c>
      <c r="F71" s="180"/>
      <c r="G71" s="305">
        <f t="shared" si="4"/>
        <v>1000</v>
      </c>
      <c r="H71" s="177">
        <v>0.35</v>
      </c>
      <c r="I71" s="182"/>
      <c r="J71" s="276"/>
      <c r="K71" s="184">
        <v>2</v>
      </c>
    </row>
    <row r="72" spans="1:11" ht="40.200000000000003" customHeight="1" x14ac:dyDescent="0.3">
      <c r="A72" s="31"/>
      <c r="B72" s="504" t="s">
        <v>595</v>
      </c>
      <c r="C72" s="280" t="s">
        <v>580</v>
      </c>
      <c r="D72" s="304"/>
      <c r="E72" s="321"/>
      <c r="F72" s="180"/>
      <c r="G72" s="305">
        <f t="shared" si="4"/>
        <v>0</v>
      </c>
      <c r="H72" s="177">
        <v>0.35</v>
      </c>
      <c r="I72" s="182"/>
      <c r="J72" s="276"/>
      <c r="K72" s="184">
        <v>4</v>
      </c>
    </row>
    <row r="73" spans="1:11" ht="32.4" customHeight="1" x14ac:dyDescent="0.3">
      <c r="A73" s="31"/>
      <c r="B73" s="505"/>
      <c r="C73" s="281" t="s">
        <v>619</v>
      </c>
      <c r="D73" s="304"/>
      <c r="E73" s="321">
        <v>50000</v>
      </c>
      <c r="F73" s="180"/>
      <c r="G73" s="305">
        <f t="shared" si="4"/>
        <v>50000</v>
      </c>
      <c r="H73" s="177">
        <v>0.35</v>
      </c>
      <c r="I73" s="182"/>
      <c r="J73" s="276"/>
      <c r="K73" s="184">
        <v>4</v>
      </c>
    </row>
    <row r="74" spans="1:11" ht="40.200000000000003" customHeight="1" x14ac:dyDescent="0.3">
      <c r="A74" s="31"/>
      <c r="B74" s="505"/>
      <c r="C74" s="282" t="s">
        <v>598</v>
      </c>
      <c r="D74" s="304"/>
      <c r="E74" s="321">
        <v>1000</v>
      </c>
      <c r="F74" s="180"/>
      <c r="G74" s="305">
        <f t="shared" si="4"/>
        <v>1000</v>
      </c>
      <c r="H74" s="177">
        <v>0.35</v>
      </c>
      <c r="I74" s="182"/>
      <c r="J74" s="276"/>
      <c r="K74" s="184">
        <v>2</v>
      </c>
    </row>
    <row r="75" spans="1:11" ht="30" customHeight="1" x14ac:dyDescent="0.3">
      <c r="A75" s="31"/>
      <c r="B75" s="504" t="s">
        <v>616</v>
      </c>
      <c r="C75" s="280" t="s">
        <v>580</v>
      </c>
      <c r="D75" s="304">
        <v>21000</v>
      </c>
      <c r="E75" s="321"/>
      <c r="F75" s="180"/>
      <c r="G75" s="305">
        <f t="shared" si="4"/>
        <v>21000</v>
      </c>
      <c r="H75" s="177">
        <v>0.5</v>
      </c>
      <c r="I75" s="182"/>
      <c r="J75" s="276"/>
      <c r="K75" s="184">
        <v>4</v>
      </c>
    </row>
    <row r="76" spans="1:11" ht="30" customHeight="1" x14ac:dyDescent="0.3">
      <c r="A76" s="31"/>
      <c r="B76" s="505"/>
      <c r="C76" s="281" t="s">
        <v>577</v>
      </c>
      <c r="D76" s="304">
        <f>20000*2</f>
        <v>40000</v>
      </c>
      <c r="E76" s="321"/>
      <c r="F76" s="180"/>
      <c r="G76" s="305">
        <f t="shared" si="4"/>
        <v>40000</v>
      </c>
      <c r="H76" s="177">
        <v>0.5</v>
      </c>
      <c r="I76" s="182"/>
      <c r="J76" s="276"/>
      <c r="K76" s="184">
        <v>4</v>
      </c>
    </row>
    <row r="77" spans="1:11" ht="30" customHeight="1" x14ac:dyDescent="0.3">
      <c r="A77" s="31"/>
      <c r="B77" s="505"/>
      <c r="C77" s="282" t="s">
        <v>598</v>
      </c>
      <c r="D77" s="304"/>
      <c r="E77" s="321"/>
      <c r="F77" s="180"/>
      <c r="G77" s="305">
        <f t="shared" si="4"/>
        <v>0</v>
      </c>
      <c r="H77" s="177">
        <v>0.5</v>
      </c>
      <c r="I77" s="182"/>
      <c r="J77" s="276"/>
      <c r="K77" s="184">
        <v>2</v>
      </c>
    </row>
    <row r="78" spans="1:11" ht="39" hidden="1" customHeight="1" x14ac:dyDescent="0.3">
      <c r="B78" s="504"/>
      <c r="C78" s="370"/>
      <c r="D78" s="371"/>
      <c r="E78" s="371"/>
      <c r="F78" s="372"/>
      <c r="G78" s="373"/>
      <c r="H78" s="368"/>
      <c r="I78" s="342"/>
      <c r="J78" s="343"/>
      <c r="K78" s="184">
        <v>4</v>
      </c>
    </row>
    <row r="79" spans="1:11" ht="39" hidden="1" customHeight="1" x14ac:dyDescent="0.3">
      <c r="B79" s="505"/>
      <c r="C79" s="370"/>
      <c r="D79" s="371"/>
      <c r="E79" s="371"/>
      <c r="F79" s="371"/>
      <c r="G79" s="373"/>
      <c r="H79" s="368"/>
      <c r="I79" s="339"/>
      <c r="J79" s="339"/>
      <c r="K79" s="184">
        <v>5</v>
      </c>
    </row>
    <row r="80" spans="1:11" ht="15.6" hidden="1" customHeight="1" x14ac:dyDescent="0.3">
      <c r="B80" s="505"/>
      <c r="C80" s="366"/>
      <c r="D80" s="367"/>
      <c r="E80" s="367"/>
      <c r="F80" s="367"/>
      <c r="G80" s="369"/>
      <c r="H80" s="368"/>
      <c r="I80" s="342"/>
      <c r="J80" s="343"/>
      <c r="K80" s="184"/>
    </row>
    <row r="81" spans="2:11" ht="15.6" hidden="1" customHeight="1" x14ac:dyDescent="0.3">
      <c r="B81" s="504"/>
      <c r="C81" s="275"/>
      <c r="D81" s="340"/>
      <c r="E81" s="340"/>
      <c r="F81" s="340"/>
      <c r="G81" s="344">
        <f t="shared" ref="G81:G82" si="5">D81+E81+F81</f>
        <v>0</v>
      </c>
      <c r="H81" s="341"/>
      <c r="I81" s="342"/>
      <c r="J81" s="343"/>
      <c r="K81" s="184"/>
    </row>
    <row r="82" spans="2:11" ht="15.6" hidden="1" customHeight="1" x14ac:dyDescent="0.3">
      <c r="B82" s="505"/>
      <c r="C82" s="275"/>
      <c r="D82" s="340"/>
      <c r="E82" s="340"/>
      <c r="F82" s="340"/>
      <c r="G82" s="344">
        <f t="shared" si="5"/>
        <v>0</v>
      </c>
      <c r="H82" s="341"/>
      <c r="I82" s="342"/>
      <c r="J82" s="343"/>
      <c r="K82" s="184"/>
    </row>
    <row r="83" spans="2:11" ht="15.6" x14ac:dyDescent="0.3">
      <c r="B83" s="272"/>
      <c r="C83" s="79" t="s">
        <v>66</v>
      </c>
      <c r="D83" s="309">
        <f>SUM(D69:D82)</f>
        <v>61000</v>
      </c>
      <c r="E83" s="309">
        <f>SUM(E69:E82)</f>
        <v>82000</v>
      </c>
      <c r="F83" s="309">
        <f>SUM(F69:F77)</f>
        <v>0</v>
      </c>
      <c r="G83" s="309">
        <f>SUM(G69:G82)</f>
        <v>143000</v>
      </c>
      <c r="H83" s="309">
        <f>(H69*G69)+(H70*G70)+(H71*G71)+(H72*G72)+(H73*G73)+(H74*G74)+(H75*G75)+(H76*G76)+(H77*G77)+(H78*G78)+(H79*G79)+(H80*G80)+(H81*G81)+(H82*G82)</f>
        <v>59200</v>
      </c>
      <c r="I83" s="307">
        <f>SUM(I69:I82)</f>
        <v>0</v>
      </c>
      <c r="J83" s="308"/>
      <c r="K83" s="394"/>
    </row>
    <row r="84" spans="2:11" ht="38.4" customHeight="1" x14ac:dyDescent="0.3">
      <c r="B84" s="78" t="s">
        <v>67</v>
      </c>
      <c r="C84" s="449" t="s">
        <v>533</v>
      </c>
      <c r="D84" s="450"/>
      <c r="E84" s="450"/>
      <c r="F84" s="450"/>
      <c r="G84" s="450"/>
      <c r="H84" s="450"/>
      <c r="I84" s="450"/>
      <c r="J84" s="451"/>
      <c r="K84" s="395"/>
    </row>
    <row r="85" spans="2:11" ht="15.6" hidden="1" x14ac:dyDescent="0.3">
      <c r="B85" s="504" t="s">
        <v>624</v>
      </c>
      <c r="C85" s="381"/>
      <c r="D85" s="382"/>
      <c r="E85" s="383"/>
      <c r="F85" s="379"/>
      <c r="G85" s="258">
        <f>D85+E85+F85</f>
        <v>0</v>
      </c>
      <c r="H85" s="379"/>
      <c r="I85" s="270"/>
      <c r="J85" s="269"/>
      <c r="K85" s="256"/>
    </row>
    <row r="86" spans="2:11" ht="33.6" customHeight="1" x14ac:dyDescent="0.3">
      <c r="B86" s="505"/>
      <c r="C86" s="273" t="s">
        <v>570</v>
      </c>
      <c r="D86" s="384">
        <v>40000</v>
      </c>
      <c r="E86" s="385">
        <v>25000</v>
      </c>
      <c r="F86" s="379"/>
      <c r="G86" s="378">
        <f t="shared" ref="G86:G104" si="6">D86+E86+F86</f>
        <v>65000</v>
      </c>
      <c r="H86" s="380">
        <v>0.5</v>
      </c>
      <c r="I86" s="270"/>
      <c r="J86" s="269"/>
      <c r="K86" s="184">
        <v>4</v>
      </c>
    </row>
    <row r="87" spans="2:11" ht="33.6" customHeight="1" x14ac:dyDescent="0.3">
      <c r="B87" s="505"/>
      <c r="C87" s="273" t="s">
        <v>569</v>
      </c>
      <c r="D87" s="384">
        <v>4000</v>
      </c>
      <c r="E87" s="385"/>
      <c r="F87" s="379"/>
      <c r="G87" s="378">
        <f t="shared" si="6"/>
        <v>4000</v>
      </c>
      <c r="H87" s="380">
        <v>0.5</v>
      </c>
      <c r="I87" s="270"/>
      <c r="J87" s="269"/>
      <c r="K87" s="184">
        <v>5</v>
      </c>
    </row>
    <row r="88" spans="2:11" ht="33.6" customHeight="1" x14ac:dyDescent="0.3">
      <c r="B88" s="505"/>
      <c r="C88" s="285" t="s">
        <v>567</v>
      </c>
      <c r="D88" s="384">
        <v>7500</v>
      </c>
      <c r="E88" s="385"/>
      <c r="F88" s="379"/>
      <c r="G88" s="378">
        <f t="shared" si="6"/>
        <v>7500</v>
      </c>
      <c r="H88" s="380">
        <v>0.5</v>
      </c>
      <c r="I88" s="270"/>
      <c r="J88" s="269"/>
      <c r="K88" s="184">
        <v>5</v>
      </c>
    </row>
    <row r="89" spans="2:11" ht="33.6" customHeight="1" x14ac:dyDescent="0.3">
      <c r="B89" s="506"/>
      <c r="C89" s="285" t="s">
        <v>599</v>
      </c>
      <c r="D89" s="359"/>
      <c r="E89" s="385">
        <v>1000</v>
      </c>
      <c r="F89" s="379"/>
      <c r="G89" s="378">
        <f t="shared" si="6"/>
        <v>1000</v>
      </c>
      <c r="H89" s="380">
        <v>0.5</v>
      </c>
      <c r="I89" s="270"/>
      <c r="J89" s="269"/>
      <c r="K89" s="184">
        <v>2</v>
      </c>
    </row>
    <row r="90" spans="2:11" ht="48" customHeight="1" x14ac:dyDescent="0.3">
      <c r="B90" s="504" t="s">
        <v>596</v>
      </c>
      <c r="C90" s="280" t="s">
        <v>580</v>
      </c>
      <c r="D90" s="304"/>
      <c r="E90" s="321"/>
      <c r="F90" s="269"/>
      <c r="G90" s="305">
        <f t="shared" si="6"/>
        <v>0</v>
      </c>
      <c r="H90" s="314">
        <v>0.3</v>
      </c>
      <c r="I90" s="270"/>
      <c r="J90" s="269"/>
      <c r="K90" s="184">
        <v>4</v>
      </c>
    </row>
    <row r="91" spans="2:11" ht="48" customHeight="1" x14ac:dyDescent="0.3">
      <c r="B91" s="505"/>
      <c r="C91" s="281" t="s">
        <v>576</v>
      </c>
      <c r="D91" s="304"/>
      <c r="E91" s="321">
        <v>25000</v>
      </c>
      <c r="F91" s="269"/>
      <c r="G91" s="305">
        <f t="shared" si="6"/>
        <v>25000</v>
      </c>
      <c r="H91" s="314">
        <v>0.3</v>
      </c>
      <c r="I91" s="270"/>
      <c r="J91" s="269"/>
      <c r="K91" s="184">
        <v>4</v>
      </c>
    </row>
    <row r="92" spans="2:11" ht="48" customHeight="1" x14ac:dyDescent="0.3">
      <c r="B92" s="506"/>
      <c r="C92" s="282" t="s">
        <v>599</v>
      </c>
      <c r="D92" s="304"/>
      <c r="E92" s="321">
        <v>1000</v>
      </c>
      <c r="F92" s="269"/>
      <c r="G92" s="305">
        <f t="shared" si="6"/>
        <v>1000</v>
      </c>
      <c r="H92" s="314">
        <v>0.3</v>
      </c>
      <c r="I92" s="270"/>
      <c r="J92" s="269"/>
      <c r="K92" s="184">
        <v>2</v>
      </c>
    </row>
    <row r="93" spans="2:11" ht="24" hidden="1" customHeight="1" x14ac:dyDescent="0.3">
      <c r="B93" s="523"/>
      <c r="C93" s="374"/>
      <c r="D93" s="304"/>
      <c r="E93" s="321"/>
      <c r="F93" s="269"/>
      <c r="G93" s="305"/>
      <c r="H93" s="315"/>
      <c r="I93" s="270"/>
      <c r="J93" s="269"/>
      <c r="K93" s="184"/>
    </row>
    <row r="94" spans="2:11" ht="24" hidden="1" customHeight="1" x14ac:dyDescent="0.3">
      <c r="B94" s="524"/>
      <c r="C94" s="375"/>
      <c r="D94" s="304"/>
      <c r="E94" s="321"/>
      <c r="F94" s="269"/>
      <c r="G94" s="305"/>
      <c r="H94" s="315"/>
      <c r="I94" s="270"/>
      <c r="J94" s="269"/>
      <c r="K94" s="184"/>
    </row>
    <row r="95" spans="2:11" ht="24" hidden="1" customHeight="1" x14ac:dyDescent="0.3">
      <c r="B95" s="525"/>
      <c r="C95" s="376"/>
      <c r="D95" s="304"/>
      <c r="E95" s="321"/>
      <c r="F95" s="269"/>
      <c r="G95" s="305"/>
      <c r="H95" s="315"/>
      <c r="I95" s="270"/>
      <c r="J95" s="269"/>
      <c r="K95" s="184"/>
    </row>
    <row r="96" spans="2:11" ht="22.8" customHeight="1" x14ac:dyDescent="0.3">
      <c r="B96" s="504" t="s">
        <v>625</v>
      </c>
      <c r="C96" s="386" t="s">
        <v>580</v>
      </c>
      <c r="D96" s="359"/>
      <c r="E96" s="385"/>
      <c r="F96" s="379"/>
      <c r="G96" s="378">
        <f t="shared" si="6"/>
        <v>0</v>
      </c>
      <c r="H96" s="314">
        <v>0.35</v>
      </c>
      <c r="I96" s="270"/>
      <c r="J96" s="269"/>
      <c r="K96" s="184">
        <v>4</v>
      </c>
    </row>
    <row r="97" spans="2:11" ht="22.8" customHeight="1" x14ac:dyDescent="0.3">
      <c r="B97" s="505"/>
      <c r="C97" s="273" t="s">
        <v>582</v>
      </c>
      <c r="D97" s="359"/>
      <c r="E97" s="385">
        <v>20000</v>
      </c>
      <c r="F97" s="379"/>
      <c r="G97" s="378">
        <f t="shared" si="6"/>
        <v>20000</v>
      </c>
      <c r="H97" s="314">
        <v>0.35</v>
      </c>
      <c r="I97" s="270"/>
      <c r="J97" s="269"/>
      <c r="K97" s="184">
        <v>4</v>
      </c>
    </row>
    <row r="98" spans="2:11" ht="22.8" customHeight="1" x14ac:dyDescent="0.3">
      <c r="B98" s="505"/>
      <c r="C98" s="273" t="s">
        <v>569</v>
      </c>
      <c r="D98" s="359"/>
      <c r="E98" s="385">
        <v>6000</v>
      </c>
      <c r="F98" s="379"/>
      <c r="G98" s="378">
        <f t="shared" si="6"/>
        <v>6000</v>
      </c>
      <c r="H98" s="314">
        <v>0.35</v>
      </c>
      <c r="I98" s="270"/>
      <c r="J98" s="269"/>
      <c r="K98" s="184">
        <v>5</v>
      </c>
    </row>
    <row r="99" spans="2:11" ht="22.8" customHeight="1" x14ac:dyDescent="0.3">
      <c r="B99" s="505"/>
      <c r="C99" s="285" t="s">
        <v>599</v>
      </c>
      <c r="D99" s="359"/>
      <c r="E99" s="385">
        <v>1000</v>
      </c>
      <c r="F99" s="379"/>
      <c r="G99" s="378">
        <f t="shared" si="6"/>
        <v>1000</v>
      </c>
      <c r="H99" s="314">
        <v>0.35</v>
      </c>
      <c r="I99" s="270"/>
      <c r="J99" s="269"/>
      <c r="K99" s="184">
        <v>2</v>
      </c>
    </row>
    <row r="100" spans="2:11" ht="22.8" customHeight="1" x14ac:dyDescent="0.3">
      <c r="B100" s="506"/>
      <c r="C100" s="285" t="s">
        <v>567</v>
      </c>
      <c r="D100" s="359"/>
      <c r="E100" s="385">
        <v>5000</v>
      </c>
      <c r="F100" s="379"/>
      <c r="G100" s="378">
        <f t="shared" si="6"/>
        <v>5000</v>
      </c>
      <c r="H100" s="314">
        <v>0.35</v>
      </c>
      <c r="I100" s="270"/>
      <c r="J100" s="269"/>
      <c r="K100" s="184">
        <v>5</v>
      </c>
    </row>
    <row r="101" spans="2:11" ht="22.8" customHeight="1" x14ac:dyDescent="0.3">
      <c r="B101" s="504" t="s">
        <v>626</v>
      </c>
      <c r="C101" s="381" t="s">
        <v>580</v>
      </c>
      <c r="D101" s="359"/>
      <c r="E101" s="385"/>
      <c r="F101" s="379"/>
      <c r="G101" s="378">
        <f t="shared" si="6"/>
        <v>0</v>
      </c>
      <c r="H101" s="314">
        <v>0.35</v>
      </c>
      <c r="I101" s="270"/>
      <c r="J101" s="269"/>
      <c r="K101" s="184">
        <v>4</v>
      </c>
    </row>
    <row r="102" spans="2:11" ht="22.8" customHeight="1" x14ac:dyDescent="0.3">
      <c r="B102" s="505"/>
      <c r="C102" s="273" t="s">
        <v>582</v>
      </c>
      <c r="D102" s="359"/>
      <c r="E102" s="385">
        <v>20000</v>
      </c>
      <c r="F102" s="379"/>
      <c r="G102" s="378">
        <f t="shared" si="6"/>
        <v>20000</v>
      </c>
      <c r="H102" s="314">
        <v>0.35</v>
      </c>
      <c r="I102" s="270"/>
      <c r="J102" s="269"/>
      <c r="K102" s="184">
        <v>4</v>
      </c>
    </row>
    <row r="103" spans="2:11" ht="22.8" customHeight="1" x14ac:dyDescent="0.3">
      <c r="B103" s="505"/>
      <c r="C103" s="273" t="s">
        <v>569</v>
      </c>
      <c r="D103" s="359"/>
      <c r="E103" s="385">
        <v>6000</v>
      </c>
      <c r="F103" s="379"/>
      <c r="G103" s="378">
        <f t="shared" si="6"/>
        <v>6000</v>
      </c>
      <c r="H103" s="314">
        <v>0.35</v>
      </c>
      <c r="I103" s="270"/>
      <c r="J103" s="269"/>
      <c r="K103" s="184">
        <v>5</v>
      </c>
    </row>
    <row r="104" spans="2:11" ht="22.8" customHeight="1" x14ac:dyDescent="0.3">
      <c r="B104" s="526"/>
      <c r="C104" s="285" t="s">
        <v>599</v>
      </c>
      <c r="D104" s="359"/>
      <c r="E104" s="385">
        <v>1000</v>
      </c>
      <c r="F104" s="379"/>
      <c r="G104" s="378">
        <f t="shared" si="6"/>
        <v>1000</v>
      </c>
      <c r="H104" s="314">
        <v>0.35</v>
      </c>
      <c r="I104" s="270"/>
      <c r="J104" s="269"/>
      <c r="K104" s="184">
        <v>2</v>
      </c>
    </row>
    <row r="105" spans="2:11" ht="15.6" hidden="1" x14ac:dyDescent="0.3">
      <c r="B105" s="510"/>
      <c r="C105" s="279"/>
      <c r="D105" s="269"/>
      <c r="E105" s="223"/>
      <c r="F105" s="180"/>
      <c r="G105" s="217">
        <f t="shared" ref="G105:G108" si="7">D105+E105+F105</f>
        <v>0</v>
      </c>
      <c r="H105" s="177"/>
      <c r="I105" s="182"/>
      <c r="J105" s="276"/>
      <c r="K105" s="184"/>
    </row>
    <row r="106" spans="2:11" ht="15.6" hidden="1" x14ac:dyDescent="0.3">
      <c r="B106" s="511"/>
      <c r="C106" s="279"/>
      <c r="D106" s="269"/>
      <c r="E106" s="223"/>
      <c r="F106" s="180"/>
      <c r="G106" s="217">
        <f t="shared" si="7"/>
        <v>0</v>
      </c>
      <c r="H106" s="177"/>
      <c r="I106" s="182"/>
      <c r="J106" s="276"/>
      <c r="K106" s="184"/>
    </row>
    <row r="107" spans="2:11" ht="15.6" hidden="1" x14ac:dyDescent="0.3">
      <c r="B107" s="511"/>
      <c r="C107" s="279"/>
      <c r="D107" s="269"/>
      <c r="E107" s="223"/>
      <c r="F107" s="180"/>
      <c r="G107" s="217">
        <f t="shared" si="7"/>
        <v>0</v>
      </c>
      <c r="H107" s="177"/>
      <c r="I107" s="182"/>
      <c r="J107" s="276"/>
      <c r="K107" s="184"/>
    </row>
    <row r="108" spans="2:11" ht="15.6" hidden="1" x14ac:dyDescent="0.3">
      <c r="B108" s="511"/>
      <c r="C108" s="279"/>
      <c r="D108" s="269"/>
      <c r="E108" s="223"/>
      <c r="F108" s="180"/>
      <c r="G108" s="217">
        <f t="shared" si="7"/>
        <v>0</v>
      </c>
      <c r="H108" s="177"/>
      <c r="I108" s="182"/>
      <c r="J108" s="276"/>
      <c r="K108" s="184"/>
    </row>
    <row r="109" spans="2:11" ht="15.6" hidden="1" x14ac:dyDescent="0.3">
      <c r="B109" s="511"/>
      <c r="C109" s="279"/>
      <c r="D109" s="269"/>
      <c r="E109" s="223"/>
      <c r="F109" s="180"/>
      <c r="G109" s="217">
        <f t="shared" ref="G109:G130" si="8">D109+E109+F109</f>
        <v>0</v>
      </c>
      <c r="H109" s="177"/>
      <c r="I109" s="182"/>
      <c r="J109" s="276"/>
      <c r="K109" s="184"/>
    </row>
    <row r="110" spans="2:11" ht="15.6" hidden="1" x14ac:dyDescent="0.3">
      <c r="B110" s="511"/>
      <c r="C110" s="279"/>
      <c r="D110" s="269"/>
      <c r="E110" s="223"/>
      <c r="F110" s="180"/>
      <c r="G110" s="217">
        <f t="shared" si="8"/>
        <v>0</v>
      </c>
      <c r="H110" s="177"/>
      <c r="I110" s="182"/>
      <c r="J110" s="276"/>
      <c r="K110" s="184"/>
    </row>
    <row r="111" spans="2:11" ht="15.6" hidden="1" x14ac:dyDescent="0.3">
      <c r="B111" s="511"/>
      <c r="C111" s="279"/>
      <c r="D111" s="269"/>
      <c r="E111" s="223"/>
      <c r="F111" s="180"/>
      <c r="G111" s="217">
        <f t="shared" si="8"/>
        <v>0</v>
      </c>
      <c r="H111" s="177"/>
      <c r="I111" s="182"/>
      <c r="J111" s="276"/>
      <c r="K111" s="184"/>
    </row>
    <row r="112" spans="2:11" ht="15.6" hidden="1" x14ac:dyDescent="0.3">
      <c r="B112" s="512"/>
      <c r="C112" s="279"/>
      <c r="D112" s="269"/>
      <c r="E112" s="223"/>
      <c r="F112" s="180"/>
      <c r="G112" s="217">
        <f t="shared" si="8"/>
        <v>0</v>
      </c>
      <c r="H112" s="177"/>
      <c r="I112" s="182"/>
      <c r="J112" s="276"/>
      <c r="K112" s="184"/>
    </row>
    <row r="113" spans="2:11" ht="15.6" hidden="1" x14ac:dyDescent="0.3">
      <c r="B113" s="271"/>
      <c r="C113" s="279"/>
      <c r="D113" s="269"/>
      <c r="E113" s="223"/>
      <c r="F113" s="180"/>
      <c r="G113" s="217">
        <f t="shared" si="8"/>
        <v>0</v>
      </c>
      <c r="H113" s="177"/>
      <c r="I113" s="182"/>
      <c r="J113" s="276"/>
      <c r="K113" s="184"/>
    </row>
    <row r="114" spans="2:11" ht="15.6" hidden="1" x14ac:dyDescent="0.3">
      <c r="B114" s="271"/>
      <c r="C114" s="279"/>
      <c r="D114" s="269"/>
      <c r="E114" s="223"/>
      <c r="F114" s="180"/>
      <c r="G114" s="217">
        <f t="shared" si="8"/>
        <v>0</v>
      </c>
      <c r="H114" s="177"/>
      <c r="I114" s="182"/>
      <c r="J114" s="276"/>
      <c r="K114" s="184"/>
    </row>
    <row r="115" spans="2:11" ht="15.6" hidden="1" x14ac:dyDescent="0.3">
      <c r="B115" s="271"/>
      <c r="C115" s="279"/>
      <c r="D115" s="269"/>
      <c r="E115" s="223"/>
      <c r="F115" s="180"/>
      <c r="G115" s="217">
        <f t="shared" si="8"/>
        <v>0</v>
      </c>
      <c r="H115" s="177"/>
      <c r="I115" s="182"/>
      <c r="J115" s="276"/>
      <c r="K115" s="184"/>
    </row>
    <row r="116" spans="2:11" ht="15.6" hidden="1" x14ac:dyDescent="0.3">
      <c r="B116" s="271"/>
      <c r="C116" s="279"/>
      <c r="D116" s="269"/>
      <c r="E116" s="223"/>
      <c r="F116" s="180"/>
      <c r="G116" s="217">
        <f t="shared" si="8"/>
        <v>0</v>
      </c>
      <c r="H116" s="177"/>
      <c r="I116" s="182"/>
      <c r="J116" s="276"/>
      <c r="K116" s="184"/>
    </row>
    <row r="117" spans="2:11" ht="15.6" hidden="1" x14ac:dyDescent="0.3">
      <c r="B117" s="271"/>
      <c r="C117" s="279"/>
      <c r="D117" s="269"/>
      <c r="E117" s="223"/>
      <c r="F117" s="180"/>
      <c r="G117" s="217">
        <f t="shared" si="8"/>
        <v>0</v>
      </c>
      <c r="H117" s="177"/>
      <c r="I117" s="182"/>
      <c r="J117" s="276"/>
      <c r="K117" s="184"/>
    </row>
    <row r="118" spans="2:11" ht="15.6" hidden="1" x14ac:dyDescent="0.3">
      <c r="B118" s="271"/>
      <c r="C118" s="279"/>
      <c r="D118" s="269"/>
      <c r="E118" s="223"/>
      <c r="F118" s="180"/>
      <c r="G118" s="217">
        <f t="shared" si="8"/>
        <v>0</v>
      </c>
      <c r="H118" s="177"/>
      <c r="I118" s="182"/>
      <c r="J118" s="276"/>
      <c r="K118" s="184"/>
    </row>
    <row r="119" spans="2:11" ht="15.6" hidden="1" x14ac:dyDescent="0.3">
      <c r="B119" s="271"/>
      <c r="C119" s="279"/>
      <c r="D119" s="269"/>
      <c r="E119" s="223"/>
      <c r="F119" s="180"/>
      <c r="G119" s="217">
        <f t="shared" si="8"/>
        <v>0</v>
      </c>
      <c r="H119" s="177"/>
      <c r="I119" s="182"/>
      <c r="J119" s="276"/>
      <c r="K119" s="184"/>
    </row>
    <row r="120" spans="2:11" ht="15.6" hidden="1" x14ac:dyDescent="0.3">
      <c r="B120" s="271"/>
      <c r="C120" s="279"/>
      <c r="D120" s="269"/>
      <c r="E120" s="223"/>
      <c r="F120" s="180"/>
      <c r="G120" s="217">
        <f t="shared" si="8"/>
        <v>0</v>
      </c>
      <c r="H120" s="177"/>
      <c r="I120" s="182"/>
      <c r="J120" s="276"/>
      <c r="K120" s="184"/>
    </row>
    <row r="121" spans="2:11" ht="15.6" hidden="1" x14ac:dyDescent="0.3">
      <c r="B121" s="271"/>
      <c r="C121" s="279"/>
      <c r="D121" s="269"/>
      <c r="E121" s="223"/>
      <c r="F121" s="180"/>
      <c r="G121" s="217">
        <f t="shared" si="8"/>
        <v>0</v>
      </c>
      <c r="H121" s="177"/>
      <c r="I121" s="182"/>
      <c r="J121" s="276"/>
      <c r="K121" s="184"/>
    </row>
    <row r="122" spans="2:11" ht="15.6" hidden="1" x14ac:dyDescent="0.3">
      <c r="B122" s="271"/>
      <c r="C122" s="279"/>
      <c r="D122" s="269"/>
      <c r="E122" s="223"/>
      <c r="F122" s="180"/>
      <c r="G122" s="217">
        <f t="shared" si="8"/>
        <v>0</v>
      </c>
      <c r="H122" s="177"/>
      <c r="I122" s="182"/>
      <c r="J122" s="276"/>
      <c r="K122" s="184"/>
    </row>
    <row r="123" spans="2:11" ht="15.6" hidden="1" x14ac:dyDescent="0.3">
      <c r="B123" s="510"/>
      <c r="C123" s="279"/>
      <c r="D123" s="269"/>
      <c r="E123" s="223"/>
      <c r="F123" s="180"/>
      <c r="G123" s="217">
        <f>D123+E123+F123</f>
        <v>0</v>
      </c>
      <c r="H123" s="177"/>
      <c r="I123" s="182"/>
      <c r="J123" s="276"/>
      <c r="K123" s="184"/>
    </row>
    <row r="124" spans="2:11" ht="15.6" hidden="1" x14ac:dyDescent="0.3">
      <c r="B124" s="511"/>
      <c r="C124" s="279"/>
      <c r="D124" s="269"/>
      <c r="E124" s="223"/>
      <c r="F124" s="180"/>
      <c r="G124" s="217">
        <f t="shared" ref="G124:G126" si="9">D124+E124+F124</f>
        <v>0</v>
      </c>
      <c r="H124" s="177"/>
      <c r="I124" s="182"/>
      <c r="J124" s="276"/>
      <c r="K124" s="184"/>
    </row>
    <row r="125" spans="2:11" ht="15.6" hidden="1" x14ac:dyDescent="0.3">
      <c r="B125" s="511"/>
      <c r="C125" s="279"/>
      <c r="D125" s="269"/>
      <c r="E125" s="223"/>
      <c r="F125" s="180"/>
      <c r="G125" s="217">
        <f t="shared" si="9"/>
        <v>0</v>
      </c>
      <c r="H125" s="177"/>
      <c r="I125" s="182"/>
      <c r="J125" s="276"/>
      <c r="K125" s="184"/>
    </row>
    <row r="126" spans="2:11" ht="15.6" hidden="1" x14ac:dyDescent="0.3">
      <c r="B126" s="511"/>
      <c r="C126" s="279"/>
      <c r="D126" s="269"/>
      <c r="E126" s="223"/>
      <c r="F126" s="180"/>
      <c r="G126" s="217">
        <f t="shared" si="9"/>
        <v>0</v>
      </c>
      <c r="H126" s="177"/>
      <c r="I126" s="182"/>
      <c r="J126" s="276"/>
      <c r="K126" s="184"/>
    </row>
    <row r="127" spans="2:11" ht="15.6" hidden="1" x14ac:dyDescent="0.3">
      <c r="B127" s="511"/>
      <c r="C127" s="279"/>
      <c r="D127" s="269"/>
      <c r="E127" s="223"/>
      <c r="F127" s="180"/>
      <c r="G127" s="217">
        <f t="shared" si="8"/>
        <v>0</v>
      </c>
      <c r="H127" s="177"/>
      <c r="I127" s="182"/>
      <c r="J127" s="276"/>
      <c r="K127" s="184"/>
    </row>
    <row r="128" spans="2:11" ht="15.6" hidden="1" x14ac:dyDescent="0.3">
      <c r="B128" s="511"/>
      <c r="C128" s="279"/>
      <c r="D128" s="269"/>
      <c r="E128" s="223"/>
      <c r="F128" s="180"/>
      <c r="G128" s="217">
        <f t="shared" si="8"/>
        <v>0</v>
      </c>
      <c r="H128" s="177"/>
      <c r="I128" s="182"/>
      <c r="J128" s="276"/>
      <c r="K128" s="184"/>
    </row>
    <row r="129" spans="2:13" ht="15.6" hidden="1" x14ac:dyDescent="0.3">
      <c r="B129" s="511"/>
      <c r="C129" s="279"/>
      <c r="D129" s="269"/>
      <c r="E129" s="223"/>
      <c r="F129" s="180"/>
      <c r="G129" s="217">
        <f t="shared" si="8"/>
        <v>0</v>
      </c>
      <c r="H129" s="177"/>
      <c r="I129" s="182"/>
      <c r="J129" s="276"/>
      <c r="K129" s="184"/>
    </row>
    <row r="130" spans="2:13" ht="15.6" hidden="1" x14ac:dyDescent="0.3">
      <c r="B130" s="512"/>
      <c r="C130" s="279"/>
      <c r="D130" s="269"/>
      <c r="E130" s="223"/>
      <c r="F130" s="180"/>
      <c r="G130" s="217">
        <f t="shared" si="8"/>
        <v>0</v>
      </c>
      <c r="H130" s="177"/>
      <c r="I130" s="182"/>
      <c r="J130" s="276"/>
      <c r="K130" s="184"/>
    </row>
    <row r="131" spans="2:13" ht="15.6" x14ac:dyDescent="0.3">
      <c r="B131" s="272"/>
      <c r="C131" s="79" t="s">
        <v>68</v>
      </c>
      <c r="D131" s="309">
        <f>SUM(D85:D130)</f>
        <v>51500</v>
      </c>
      <c r="E131" s="309">
        <f>SUM(E85:E130)</f>
        <v>111000</v>
      </c>
      <c r="F131" s="309">
        <f>SUM(F85:F130)</f>
        <v>0</v>
      </c>
      <c r="G131" s="309">
        <f>SUM(G85:G130)</f>
        <v>162500</v>
      </c>
      <c r="H131" s="309">
        <f>(H85*G85)+(H86*G86)+(H87*G87)+(H88*G88)+(H89*G89)+(H90*G90)+(H91*G91)+(H92*G92)+(H93*G93)+(H94*G94)+(H95*G95)+(H96*G96)+(H97*G97)+(H98*G98)+(H99*G99)+(H100*G100)+(H101*G101)+(H102*G102)+(H103*G103)+(H104*G104)+(H105*G105)+(H106*G106)+(H107*G107)+(H108*G108)+(H109*G109)+(H110*G110)+(H111*G111)+(H112*G112)+(H113*G113)+(H114*G114)+(H115*G115)+(H116*G116)+(H117*G117)+(H118*G118)+(H119*G119)+(H120*G120)+(H121*G121)+(H122*G122)+(H123*G123)+(H124*G124)+(H125*G125)+(H126*G126)+(H127*G127)+(H128*G128)+(H129*G129)+(H130*G130)</f>
        <v>67200</v>
      </c>
      <c r="I131" s="309">
        <f>SUM(I85:I130)</f>
        <v>0</v>
      </c>
      <c r="J131" s="278"/>
      <c r="K131" s="394"/>
    </row>
    <row r="132" spans="2:13" ht="15.6" x14ac:dyDescent="0.3">
      <c r="B132" s="221"/>
      <c r="C132" s="286"/>
      <c r="D132" s="222"/>
      <c r="E132" s="222"/>
      <c r="F132" s="222"/>
      <c r="G132" s="222"/>
      <c r="H132" s="222"/>
      <c r="I132" s="222"/>
      <c r="J132" s="222"/>
      <c r="K132" s="187"/>
    </row>
    <row r="133" spans="2:13" ht="29.4" customHeight="1" x14ac:dyDescent="0.3">
      <c r="B133" s="79" t="s">
        <v>69</v>
      </c>
      <c r="C133" s="459" t="s">
        <v>70</v>
      </c>
      <c r="D133" s="460"/>
      <c r="E133" s="460"/>
      <c r="F133" s="460"/>
      <c r="G133" s="460"/>
      <c r="H133" s="460"/>
      <c r="I133" s="460"/>
      <c r="J133" s="461"/>
      <c r="K133" s="396"/>
    </row>
    <row r="134" spans="2:13" ht="31.2" customHeight="1" x14ac:dyDescent="0.3">
      <c r="B134" s="392" t="s">
        <v>12</v>
      </c>
      <c r="C134" s="459" t="s">
        <v>597</v>
      </c>
      <c r="D134" s="460"/>
      <c r="E134" s="460"/>
      <c r="F134" s="460"/>
      <c r="G134" s="460"/>
      <c r="H134" s="460"/>
      <c r="I134" s="460"/>
      <c r="J134" s="461"/>
      <c r="K134" s="395"/>
    </row>
    <row r="135" spans="2:13" ht="19.2" customHeight="1" x14ac:dyDescent="0.3">
      <c r="B135" s="504" t="s">
        <v>613</v>
      </c>
      <c r="C135" s="280" t="s">
        <v>580</v>
      </c>
      <c r="D135" s="304"/>
      <c r="E135" s="321">
        <v>15000</v>
      </c>
      <c r="F135" s="304"/>
      <c r="G135" s="305">
        <f>D135+E135+F135</f>
        <v>15000</v>
      </c>
      <c r="H135" s="177">
        <v>1</v>
      </c>
      <c r="I135" s="182"/>
      <c r="J135" s="276"/>
      <c r="K135" s="184">
        <v>4</v>
      </c>
      <c r="M135" s="179"/>
    </row>
    <row r="136" spans="2:13" ht="19.2" customHeight="1" x14ac:dyDescent="0.3">
      <c r="B136" s="505"/>
      <c r="C136" s="282" t="s">
        <v>612</v>
      </c>
      <c r="D136" s="304"/>
      <c r="E136" s="339">
        <v>10000</v>
      </c>
      <c r="F136" s="304"/>
      <c r="G136" s="305">
        <f t="shared" ref="G136" si="10">D136+E136+F136</f>
        <v>10000</v>
      </c>
      <c r="H136" s="177">
        <v>1</v>
      </c>
      <c r="I136" s="182"/>
      <c r="J136" s="276"/>
      <c r="K136" s="184">
        <v>4</v>
      </c>
      <c r="M136" s="179"/>
    </row>
    <row r="137" spans="2:13" ht="19.2" customHeight="1" x14ac:dyDescent="0.3">
      <c r="B137" s="506"/>
      <c r="C137" s="282" t="s">
        <v>599</v>
      </c>
      <c r="D137" s="304"/>
      <c r="E137" s="321">
        <v>2000</v>
      </c>
      <c r="F137" s="304"/>
      <c r="G137" s="305">
        <f t="shared" ref="G137:G230" si="11">D137+E137+F137</f>
        <v>2000</v>
      </c>
      <c r="H137" s="177">
        <v>1</v>
      </c>
      <c r="I137" s="182"/>
      <c r="J137" s="276"/>
      <c r="K137" s="184">
        <v>2</v>
      </c>
    </row>
    <row r="138" spans="2:13" ht="31.8" customHeight="1" x14ac:dyDescent="0.3">
      <c r="B138" s="504" t="s">
        <v>585</v>
      </c>
      <c r="C138" s="280" t="s">
        <v>580</v>
      </c>
      <c r="D138" s="304"/>
      <c r="E138" s="321">
        <v>4000</v>
      </c>
      <c r="F138" s="304"/>
      <c r="G138" s="305">
        <f t="shared" si="11"/>
        <v>4000</v>
      </c>
      <c r="H138" s="177">
        <v>1</v>
      </c>
      <c r="I138" s="182"/>
      <c r="J138" s="276"/>
      <c r="K138" s="184">
        <v>4</v>
      </c>
    </row>
    <row r="139" spans="2:13" ht="31.8" customHeight="1" x14ac:dyDescent="0.3">
      <c r="B139" s="505"/>
      <c r="C139" s="275" t="s">
        <v>614</v>
      </c>
      <c r="D139" s="304"/>
      <c r="E139" s="321">
        <v>38000</v>
      </c>
      <c r="F139" s="304"/>
      <c r="G139" s="305">
        <f t="shared" si="11"/>
        <v>38000</v>
      </c>
      <c r="H139" s="177">
        <v>1</v>
      </c>
      <c r="I139" s="182"/>
      <c r="J139" s="276"/>
      <c r="K139" s="184">
        <v>4</v>
      </c>
    </row>
    <row r="140" spans="2:13" ht="31.8" customHeight="1" x14ac:dyDescent="0.3">
      <c r="B140" s="506"/>
      <c r="C140" s="282" t="s">
        <v>65</v>
      </c>
      <c r="D140" s="304"/>
      <c r="E140" s="321">
        <v>2000</v>
      </c>
      <c r="F140" s="304"/>
      <c r="G140" s="305">
        <f t="shared" si="11"/>
        <v>2000</v>
      </c>
      <c r="H140" s="177">
        <v>1</v>
      </c>
      <c r="I140" s="182"/>
      <c r="J140" s="276"/>
      <c r="K140" s="184">
        <v>2</v>
      </c>
    </row>
    <row r="141" spans="2:13" ht="31.8" hidden="1" customHeight="1" x14ac:dyDescent="0.3">
      <c r="B141" s="507"/>
      <c r="C141" s="336"/>
      <c r="D141" s="331"/>
      <c r="E141" s="331"/>
      <c r="F141" s="331"/>
      <c r="G141" s="332"/>
      <c r="H141" s="333"/>
      <c r="I141" s="334"/>
      <c r="J141" s="335"/>
      <c r="K141" s="184">
        <v>4</v>
      </c>
    </row>
    <row r="142" spans="2:13" ht="31.8" hidden="1" customHeight="1" x14ac:dyDescent="0.3">
      <c r="B142" s="508"/>
      <c r="C142" s="330"/>
      <c r="D142" s="331"/>
      <c r="E142" s="331"/>
      <c r="F142" s="331"/>
      <c r="G142" s="332"/>
      <c r="H142" s="333"/>
      <c r="I142" s="334"/>
      <c r="J142" s="335"/>
      <c r="K142" s="184">
        <v>4</v>
      </c>
    </row>
    <row r="143" spans="2:13" ht="31.8" hidden="1" customHeight="1" x14ac:dyDescent="0.3">
      <c r="B143" s="509"/>
      <c r="C143" s="337"/>
      <c r="D143" s="331"/>
      <c r="E143" s="331"/>
      <c r="F143" s="331"/>
      <c r="G143" s="332"/>
      <c r="H143" s="333"/>
      <c r="I143" s="334"/>
      <c r="J143" s="335"/>
      <c r="K143" s="184">
        <v>2</v>
      </c>
    </row>
    <row r="144" spans="2:13" ht="64.2" hidden="1" customHeight="1" x14ac:dyDescent="0.3">
      <c r="B144" s="507"/>
      <c r="C144" s="336"/>
      <c r="D144" s="331"/>
      <c r="E144" s="331"/>
      <c r="F144" s="331"/>
      <c r="G144" s="332"/>
      <c r="H144" s="333"/>
      <c r="I144" s="334"/>
      <c r="J144" s="335"/>
      <c r="K144" s="184">
        <v>4</v>
      </c>
      <c r="M144" s="179"/>
    </row>
    <row r="145" spans="2:13" ht="64.2" hidden="1" customHeight="1" x14ac:dyDescent="0.3">
      <c r="B145" s="508"/>
      <c r="C145" s="330"/>
      <c r="D145" s="331"/>
      <c r="E145" s="331"/>
      <c r="F145" s="331"/>
      <c r="G145" s="332"/>
      <c r="H145" s="333"/>
      <c r="I145" s="334"/>
      <c r="J145" s="335"/>
      <c r="K145" s="184">
        <v>4</v>
      </c>
      <c r="M145" s="179"/>
    </row>
    <row r="146" spans="2:13" ht="68.400000000000006" hidden="1" customHeight="1" x14ac:dyDescent="0.3">
      <c r="B146" s="509"/>
      <c r="C146" s="337"/>
      <c r="D146" s="331"/>
      <c r="E146" s="331"/>
      <c r="F146" s="331"/>
      <c r="G146" s="332"/>
      <c r="H146" s="333"/>
      <c r="I146" s="334"/>
      <c r="J146" s="335"/>
      <c r="K146" s="184">
        <v>2</v>
      </c>
    </row>
    <row r="147" spans="2:13" ht="15.6" hidden="1" x14ac:dyDescent="0.3">
      <c r="B147" s="510"/>
      <c r="C147" s="279"/>
      <c r="D147" s="304"/>
      <c r="E147" s="321"/>
      <c r="F147" s="304"/>
      <c r="G147" s="305">
        <f t="shared" si="11"/>
        <v>0</v>
      </c>
      <c r="H147" s="177"/>
      <c r="I147" s="182"/>
      <c r="J147" s="276"/>
      <c r="K147" s="184"/>
    </row>
    <row r="148" spans="2:13" ht="15.6" hidden="1" x14ac:dyDescent="0.3">
      <c r="B148" s="511"/>
      <c r="C148" s="279"/>
      <c r="D148" s="304"/>
      <c r="E148" s="321"/>
      <c r="F148" s="304"/>
      <c r="G148" s="305"/>
      <c r="H148" s="177"/>
      <c r="I148" s="182"/>
      <c r="J148" s="276"/>
      <c r="K148" s="184"/>
    </row>
    <row r="149" spans="2:13" ht="15.6" hidden="1" x14ac:dyDescent="0.3">
      <c r="B149" s="511"/>
      <c r="C149" s="279"/>
      <c r="D149" s="304"/>
      <c r="E149" s="321"/>
      <c r="F149" s="304"/>
      <c r="G149" s="305"/>
      <c r="H149" s="177"/>
      <c r="I149" s="182"/>
      <c r="J149" s="276"/>
      <c r="K149" s="184"/>
    </row>
    <row r="150" spans="2:13" ht="15.6" hidden="1" x14ac:dyDescent="0.3">
      <c r="B150" s="511"/>
      <c r="C150" s="279"/>
      <c r="D150" s="304"/>
      <c r="E150" s="321"/>
      <c r="F150" s="304"/>
      <c r="G150" s="305"/>
      <c r="H150" s="177"/>
      <c r="I150" s="182"/>
      <c r="J150" s="276"/>
      <c r="K150" s="184"/>
    </row>
    <row r="151" spans="2:13" ht="15.6" hidden="1" x14ac:dyDescent="0.3">
      <c r="B151" s="511"/>
      <c r="C151" s="279"/>
      <c r="D151" s="304"/>
      <c r="E151" s="321"/>
      <c r="F151" s="304"/>
      <c r="G151" s="305">
        <f t="shared" si="11"/>
        <v>0</v>
      </c>
      <c r="H151" s="177"/>
      <c r="I151" s="182"/>
      <c r="J151" s="276"/>
      <c r="K151" s="184"/>
      <c r="M151" s="179"/>
    </row>
    <row r="152" spans="2:13" ht="15.6" hidden="1" x14ac:dyDescent="0.3">
      <c r="B152" s="511"/>
      <c r="C152" s="279"/>
      <c r="D152" s="304"/>
      <c r="E152" s="321"/>
      <c r="F152" s="304"/>
      <c r="G152" s="305">
        <f t="shared" si="11"/>
        <v>0</v>
      </c>
      <c r="H152" s="177"/>
      <c r="I152" s="182"/>
      <c r="J152" s="276"/>
      <c r="K152" s="184"/>
      <c r="M152" s="179"/>
    </row>
    <row r="153" spans="2:13" ht="15.6" hidden="1" x14ac:dyDescent="0.3">
      <c r="B153" s="511"/>
      <c r="C153" s="279"/>
      <c r="D153" s="304"/>
      <c r="E153" s="321"/>
      <c r="F153" s="304"/>
      <c r="G153" s="305">
        <f t="shared" si="11"/>
        <v>0</v>
      </c>
      <c r="H153" s="177"/>
      <c r="I153" s="182"/>
      <c r="J153" s="276"/>
      <c r="K153" s="184"/>
    </row>
    <row r="154" spans="2:13" ht="15.6" hidden="1" x14ac:dyDescent="0.3">
      <c r="B154" s="512"/>
      <c r="C154" s="279"/>
      <c r="D154" s="304"/>
      <c r="E154" s="321"/>
      <c r="F154" s="304"/>
      <c r="G154" s="305">
        <f t="shared" si="11"/>
        <v>0</v>
      </c>
      <c r="H154" s="177"/>
      <c r="I154" s="182"/>
      <c r="J154" s="276"/>
      <c r="K154" s="184"/>
    </row>
    <row r="155" spans="2:13" ht="15.6" hidden="1" x14ac:dyDescent="0.3">
      <c r="B155" s="510"/>
      <c r="C155" s="279"/>
      <c r="D155" s="304"/>
      <c r="E155" s="321"/>
      <c r="F155" s="304"/>
      <c r="G155" s="305">
        <f t="shared" si="11"/>
        <v>0</v>
      </c>
      <c r="H155" s="177"/>
      <c r="I155" s="182"/>
      <c r="J155" s="276"/>
      <c r="K155" s="184"/>
    </row>
    <row r="156" spans="2:13" ht="15.6" hidden="1" x14ac:dyDescent="0.3">
      <c r="B156" s="511"/>
      <c r="C156" s="279"/>
      <c r="D156" s="304"/>
      <c r="E156" s="321"/>
      <c r="F156" s="304"/>
      <c r="G156" s="305"/>
      <c r="H156" s="177"/>
      <c r="I156" s="182"/>
      <c r="J156" s="276"/>
      <c r="K156" s="184"/>
    </row>
    <row r="157" spans="2:13" ht="15.6" hidden="1" x14ac:dyDescent="0.3">
      <c r="B157" s="511"/>
      <c r="C157" s="279"/>
      <c r="D157" s="304"/>
      <c r="E157" s="321"/>
      <c r="F157" s="304"/>
      <c r="G157" s="305"/>
      <c r="H157" s="177"/>
      <c r="I157" s="182"/>
      <c r="J157" s="276"/>
      <c r="K157" s="184"/>
    </row>
    <row r="158" spans="2:13" ht="15.6" hidden="1" x14ac:dyDescent="0.3">
      <c r="B158" s="511"/>
      <c r="C158" s="279"/>
      <c r="D158" s="304"/>
      <c r="E158" s="321"/>
      <c r="F158" s="304"/>
      <c r="G158" s="305"/>
      <c r="H158" s="177"/>
      <c r="I158" s="182"/>
      <c r="J158" s="276"/>
      <c r="K158" s="184"/>
    </row>
    <row r="159" spans="2:13" ht="15.6" hidden="1" x14ac:dyDescent="0.3">
      <c r="B159" s="511"/>
      <c r="C159" s="279"/>
      <c r="D159" s="304"/>
      <c r="E159" s="321"/>
      <c r="F159" s="304"/>
      <c r="G159" s="305">
        <f t="shared" si="11"/>
        <v>0</v>
      </c>
      <c r="H159" s="177"/>
      <c r="I159" s="182"/>
      <c r="J159" s="276"/>
      <c r="K159" s="184"/>
      <c r="M159" s="179"/>
    </row>
    <row r="160" spans="2:13" ht="15.6" hidden="1" x14ac:dyDescent="0.3">
      <c r="B160" s="511"/>
      <c r="C160" s="279"/>
      <c r="D160" s="304"/>
      <c r="E160" s="321"/>
      <c r="F160" s="304"/>
      <c r="G160" s="305">
        <f t="shared" si="11"/>
        <v>0</v>
      </c>
      <c r="H160" s="177"/>
      <c r="I160" s="182"/>
      <c r="J160" s="276"/>
      <c r="K160" s="184"/>
      <c r="M160" s="179"/>
    </row>
    <row r="161" spans="2:13" ht="15.6" hidden="1" x14ac:dyDescent="0.3">
      <c r="B161" s="511"/>
      <c r="C161" s="279"/>
      <c r="D161" s="304"/>
      <c r="E161" s="321"/>
      <c r="F161" s="304"/>
      <c r="G161" s="305">
        <f t="shared" si="11"/>
        <v>0</v>
      </c>
      <c r="H161" s="177"/>
      <c r="I161" s="182"/>
      <c r="J161" s="276"/>
      <c r="K161" s="184"/>
    </row>
    <row r="162" spans="2:13" ht="15.6" hidden="1" x14ac:dyDescent="0.3">
      <c r="B162" s="512"/>
      <c r="C162" s="279"/>
      <c r="D162" s="304"/>
      <c r="E162" s="321"/>
      <c r="F162" s="304"/>
      <c r="G162" s="305">
        <f t="shared" si="11"/>
        <v>0</v>
      </c>
      <c r="H162" s="177"/>
      <c r="I162" s="182"/>
      <c r="J162" s="276"/>
      <c r="K162" s="184"/>
    </row>
    <row r="163" spans="2:13" ht="15.6" hidden="1" x14ac:dyDescent="0.3">
      <c r="B163" s="510"/>
      <c r="C163" s="279"/>
      <c r="D163" s="304"/>
      <c r="E163" s="321"/>
      <c r="F163" s="304"/>
      <c r="G163" s="305">
        <f t="shared" si="11"/>
        <v>0</v>
      </c>
      <c r="H163" s="177"/>
      <c r="I163" s="182"/>
      <c r="J163" s="276"/>
      <c r="K163" s="184"/>
      <c r="M163" s="179"/>
    </row>
    <row r="164" spans="2:13" ht="15.6" hidden="1" x14ac:dyDescent="0.3">
      <c r="B164" s="511"/>
      <c r="C164" s="279"/>
      <c r="D164" s="304"/>
      <c r="E164" s="321"/>
      <c r="F164" s="304"/>
      <c r="G164" s="305"/>
      <c r="H164" s="177"/>
      <c r="I164" s="182"/>
      <c r="J164" s="276"/>
      <c r="K164" s="184"/>
      <c r="M164" s="179"/>
    </row>
    <row r="165" spans="2:13" ht="15.6" hidden="1" x14ac:dyDescent="0.3">
      <c r="B165" s="511"/>
      <c r="C165" s="279"/>
      <c r="D165" s="304"/>
      <c r="E165" s="321"/>
      <c r="F165" s="304"/>
      <c r="G165" s="305"/>
      <c r="H165" s="177"/>
      <c r="I165" s="182"/>
      <c r="J165" s="276"/>
      <c r="K165" s="184"/>
      <c r="M165" s="179"/>
    </row>
    <row r="166" spans="2:13" ht="15.6" hidden="1" x14ac:dyDescent="0.3">
      <c r="B166" s="511"/>
      <c r="C166" s="279"/>
      <c r="D166" s="304"/>
      <c r="E166" s="321"/>
      <c r="F166" s="304"/>
      <c r="G166" s="305"/>
      <c r="H166" s="177"/>
      <c r="I166" s="182"/>
      <c r="J166" s="276"/>
      <c r="K166" s="184"/>
      <c r="M166" s="179"/>
    </row>
    <row r="167" spans="2:13" ht="15.6" hidden="1" x14ac:dyDescent="0.3">
      <c r="B167" s="511"/>
      <c r="C167" s="279"/>
      <c r="D167" s="304"/>
      <c r="E167" s="321"/>
      <c r="F167" s="304"/>
      <c r="G167" s="305">
        <f t="shared" si="11"/>
        <v>0</v>
      </c>
      <c r="H167" s="177"/>
      <c r="I167" s="182"/>
      <c r="J167" s="276"/>
      <c r="K167" s="184"/>
      <c r="M167" s="179"/>
    </row>
    <row r="168" spans="2:13" ht="15.6" hidden="1" x14ac:dyDescent="0.3">
      <c r="B168" s="511"/>
      <c r="C168" s="279"/>
      <c r="D168" s="304"/>
      <c r="E168" s="321"/>
      <c r="F168" s="304"/>
      <c r="G168" s="305">
        <f t="shared" si="11"/>
        <v>0</v>
      </c>
      <c r="H168" s="177"/>
      <c r="I168" s="182"/>
      <c r="J168" s="276"/>
      <c r="K168" s="184"/>
      <c r="M168" s="179"/>
    </row>
    <row r="169" spans="2:13" ht="15.6" hidden="1" x14ac:dyDescent="0.3">
      <c r="B169" s="511"/>
      <c r="C169" s="279"/>
      <c r="D169" s="304"/>
      <c r="E169" s="321"/>
      <c r="F169" s="304"/>
      <c r="G169" s="305">
        <f t="shared" si="11"/>
        <v>0</v>
      </c>
      <c r="H169" s="177"/>
      <c r="I169" s="182"/>
      <c r="J169" s="276"/>
      <c r="K169" s="184"/>
    </row>
    <row r="170" spans="2:13" ht="15.6" hidden="1" x14ac:dyDescent="0.3">
      <c r="B170" s="512"/>
      <c r="C170" s="279"/>
      <c r="D170" s="304"/>
      <c r="E170" s="321"/>
      <c r="F170" s="304"/>
      <c r="G170" s="305">
        <f t="shared" si="11"/>
        <v>0</v>
      </c>
      <c r="H170" s="177"/>
      <c r="I170" s="182"/>
      <c r="J170" s="276"/>
      <c r="K170" s="184"/>
    </row>
    <row r="171" spans="2:13" ht="15.6" hidden="1" x14ac:dyDescent="0.3">
      <c r="B171" s="510"/>
      <c r="C171" s="279"/>
      <c r="D171" s="304"/>
      <c r="E171" s="321"/>
      <c r="F171" s="304"/>
      <c r="G171" s="305">
        <f t="shared" si="11"/>
        <v>0</v>
      </c>
      <c r="H171" s="177"/>
      <c r="I171" s="182"/>
      <c r="J171" s="276"/>
      <c r="K171" s="184"/>
      <c r="M171" s="179"/>
    </row>
    <row r="172" spans="2:13" ht="15.6" hidden="1" x14ac:dyDescent="0.3">
      <c r="B172" s="511"/>
      <c r="C172" s="279"/>
      <c r="D172" s="304"/>
      <c r="E172" s="321"/>
      <c r="F172" s="304"/>
      <c r="G172" s="305">
        <f t="shared" si="11"/>
        <v>0</v>
      </c>
      <c r="H172" s="177"/>
      <c r="I172" s="287"/>
      <c r="J172" s="276"/>
      <c r="K172" s="184"/>
      <c r="M172" s="179"/>
    </row>
    <row r="173" spans="2:13" ht="15.6" hidden="1" x14ac:dyDescent="0.3">
      <c r="B173" s="511"/>
      <c r="C173" s="279"/>
      <c r="D173" s="304"/>
      <c r="E173" s="321"/>
      <c r="F173" s="304"/>
      <c r="G173" s="305">
        <f t="shared" si="11"/>
        <v>0</v>
      </c>
      <c r="H173" s="177"/>
      <c r="I173" s="182"/>
      <c r="J173" s="276"/>
      <c r="K173" s="184"/>
    </row>
    <row r="174" spans="2:13" ht="15.6" hidden="1" x14ac:dyDescent="0.3">
      <c r="B174" s="511"/>
      <c r="C174" s="279"/>
      <c r="D174" s="304"/>
      <c r="E174" s="321"/>
      <c r="F174" s="304"/>
      <c r="G174" s="305">
        <f t="shared" si="11"/>
        <v>0</v>
      </c>
      <c r="H174" s="177"/>
      <c r="I174" s="182"/>
      <c r="J174" s="276"/>
      <c r="K174" s="184"/>
    </row>
    <row r="175" spans="2:13" ht="15.6" hidden="1" x14ac:dyDescent="0.3">
      <c r="B175" s="512"/>
      <c r="C175" s="279"/>
      <c r="D175" s="304"/>
      <c r="E175" s="321"/>
      <c r="F175" s="304"/>
      <c r="G175" s="305">
        <f t="shared" si="11"/>
        <v>0</v>
      </c>
      <c r="H175" s="177"/>
      <c r="I175" s="182"/>
      <c r="J175" s="276"/>
      <c r="K175" s="184"/>
    </row>
    <row r="176" spans="2:13" ht="31.2" hidden="1" customHeight="1" x14ac:dyDescent="0.3">
      <c r="B176" s="510"/>
      <c r="C176" s="279"/>
      <c r="D176" s="304"/>
      <c r="E176" s="321"/>
      <c r="F176" s="304"/>
      <c r="G176" s="305">
        <f t="shared" si="11"/>
        <v>0</v>
      </c>
      <c r="H176" s="177"/>
      <c r="I176" s="182"/>
      <c r="J176" s="276"/>
      <c r="K176" s="184"/>
    </row>
    <row r="177" spans="2:13" ht="15.6" hidden="1" x14ac:dyDescent="0.3">
      <c r="B177" s="511"/>
      <c r="C177" s="279"/>
      <c r="D177" s="304"/>
      <c r="E177" s="321"/>
      <c r="F177" s="304"/>
      <c r="G177" s="305">
        <f t="shared" si="11"/>
        <v>0</v>
      </c>
      <c r="H177" s="177"/>
      <c r="I177" s="182"/>
      <c r="J177" s="276"/>
      <c r="K177" s="184"/>
      <c r="M177" s="179"/>
    </row>
    <row r="178" spans="2:13" ht="15.6" hidden="1" x14ac:dyDescent="0.3">
      <c r="B178" s="511"/>
      <c r="C178" s="279"/>
      <c r="D178" s="304"/>
      <c r="E178" s="321"/>
      <c r="F178" s="304"/>
      <c r="G178" s="305">
        <f t="shared" si="11"/>
        <v>0</v>
      </c>
      <c r="H178" s="177"/>
      <c r="I178" s="182"/>
      <c r="J178" s="276"/>
      <c r="K178" s="184"/>
    </row>
    <row r="179" spans="2:13" ht="15.6" hidden="1" x14ac:dyDescent="0.3">
      <c r="B179" s="511"/>
      <c r="C179" s="279"/>
      <c r="D179" s="304"/>
      <c r="E179" s="321"/>
      <c r="F179" s="304"/>
      <c r="G179" s="305">
        <f t="shared" si="11"/>
        <v>0</v>
      </c>
      <c r="H179" s="177"/>
      <c r="I179" s="182"/>
      <c r="J179" s="276"/>
      <c r="K179" s="184"/>
    </row>
    <row r="180" spans="2:13" ht="15.6" hidden="1" x14ac:dyDescent="0.3">
      <c r="B180" s="512"/>
      <c r="C180" s="279"/>
      <c r="D180" s="304"/>
      <c r="E180" s="321"/>
      <c r="F180" s="304"/>
      <c r="G180" s="305">
        <f t="shared" si="11"/>
        <v>0</v>
      </c>
      <c r="H180" s="177"/>
      <c r="I180" s="182"/>
      <c r="J180" s="276"/>
      <c r="K180" s="184"/>
    </row>
    <row r="181" spans="2:13" ht="31.2" hidden="1" customHeight="1" x14ac:dyDescent="0.3">
      <c r="B181" s="510"/>
      <c r="C181" s="279"/>
      <c r="D181" s="304"/>
      <c r="E181" s="321"/>
      <c r="F181" s="304"/>
      <c r="G181" s="305">
        <f t="shared" si="11"/>
        <v>0</v>
      </c>
      <c r="H181" s="177"/>
      <c r="I181" s="182"/>
      <c r="J181" s="276"/>
      <c r="K181" s="184"/>
    </row>
    <row r="182" spans="2:13" ht="15.6" hidden="1" x14ac:dyDescent="0.3">
      <c r="B182" s="511"/>
      <c r="C182" s="279"/>
      <c r="D182" s="304"/>
      <c r="E182" s="321"/>
      <c r="F182" s="304"/>
      <c r="G182" s="305">
        <f t="shared" si="11"/>
        <v>0</v>
      </c>
      <c r="H182" s="177"/>
      <c r="I182" s="182"/>
      <c r="J182" s="276"/>
      <c r="K182" s="184"/>
      <c r="M182" s="179"/>
    </row>
    <row r="183" spans="2:13" ht="15.6" hidden="1" x14ac:dyDescent="0.3">
      <c r="B183" s="511"/>
      <c r="C183" s="279"/>
      <c r="D183" s="304"/>
      <c r="E183" s="321"/>
      <c r="F183" s="304"/>
      <c r="G183" s="305">
        <f t="shared" si="11"/>
        <v>0</v>
      </c>
      <c r="H183" s="177"/>
      <c r="I183" s="182"/>
      <c r="J183" s="276"/>
      <c r="K183" s="184"/>
    </row>
    <row r="184" spans="2:13" ht="15.6" hidden="1" x14ac:dyDescent="0.3">
      <c r="B184" s="511"/>
      <c r="C184" s="279"/>
      <c r="D184" s="304"/>
      <c r="E184" s="321"/>
      <c r="F184" s="304"/>
      <c r="G184" s="305">
        <f t="shared" si="11"/>
        <v>0</v>
      </c>
      <c r="H184" s="177"/>
      <c r="I184" s="182"/>
      <c r="J184" s="276"/>
      <c r="K184" s="184"/>
    </row>
    <row r="185" spans="2:13" ht="15.6" hidden="1" x14ac:dyDescent="0.3">
      <c r="B185" s="512"/>
      <c r="C185" s="279"/>
      <c r="D185" s="304"/>
      <c r="E185" s="321"/>
      <c r="F185" s="304"/>
      <c r="G185" s="305">
        <f t="shared" si="11"/>
        <v>0</v>
      </c>
      <c r="H185" s="177"/>
      <c r="I185" s="182"/>
      <c r="J185" s="276"/>
      <c r="K185" s="184"/>
    </row>
    <row r="186" spans="2:13" ht="15.6" hidden="1" x14ac:dyDescent="0.3">
      <c r="B186" s="510"/>
      <c r="C186" s="279"/>
      <c r="D186" s="304"/>
      <c r="E186" s="321"/>
      <c r="F186" s="304"/>
      <c r="G186" s="305">
        <f t="shared" si="11"/>
        <v>0</v>
      </c>
      <c r="H186" s="177"/>
      <c r="I186" s="182"/>
      <c r="J186" s="276"/>
      <c r="K186" s="184"/>
      <c r="M186" s="179"/>
    </row>
    <row r="187" spans="2:13" ht="15.6" hidden="1" x14ac:dyDescent="0.3">
      <c r="B187" s="511"/>
      <c r="C187" s="279"/>
      <c r="D187" s="304"/>
      <c r="E187" s="321"/>
      <c r="F187" s="304"/>
      <c r="G187" s="305">
        <f t="shared" si="11"/>
        <v>0</v>
      </c>
      <c r="H187" s="177"/>
      <c r="I187" s="182"/>
      <c r="J187" s="276"/>
      <c r="K187" s="184"/>
      <c r="M187" s="179"/>
    </row>
    <row r="188" spans="2:13" ht="15.6" hidden="1" x14ac:dyDescent="0.3">
      <c r="B188" s="511"/>
      <c r="C188" s="279"/>
      <c r="D188" s="304"/>
      <c r="E188" s="321"/>
      <c r="F188" s="304"/>
      <c r="G188" s="305">
        <f t="shared" si="11"/>
        <v>0</v>
      </c>
      <c r="H188" s="177"/>
      <c r="I188" s="182"/>
      <c r="J188" s="276"/>
      <c r="K188" s="184"/>
    </row>
    <row r="189" spans="2:13" ht="15.6" hidden="1" x14ac:dyDescent="0.3">
      <c r="B189" s="511"/>
      <c r="C189" s="279"/>
      <c r="D189" s="304"/>
      <c r="E189" s="321"/>
      <c r="F189" s="304"/>
      <c r="G189" s="305">
        <f t="shared" si="11"/>
        <v>0</v>
      </c>
      <c r="H189" s="177"/>
      <c r="I189" s="182"/>
      <c r="J189" s="276"/>
      <c r="K189" s="184"/>
    </row>
    <row r="190" spans="2:13" ht="15.6" hidden="1" x14ac:dyDescent="0.3">
      <c r="B190" s="512"/>
      <c r="C190" s="279"/>
      <c r="D190" s="304"/>
      <c r="E190" s="321"/>
      <c r="F190" s="304"/>
      <c r="G190" s="305">
        <f t="shared" si="11"/>
        <v>0</v>
      </c>
      <c r="H190" s="177"/>
      <c r="I190" s="182"/>
      <c r="J190" s="276"/>
      <c r="K190" s="184"/>
    </row>
    <row r="191" spans="2:13" ht="15.6" hidden="1" x14ac:dyDescent="0.3">
      <c r="B191" s="510"/>
      <c r="C191" s="279"/>
      <c r="D191" s="304"/>
      <c r="E191" s="321"/>
      <c r="F191" s="304"/>
      <c r="G191" s="305">
        <f t="shared" si="11"/>
        <v>0</v>
      </c>
      <c r="H191" s="177"/>
      <c r="I191" s="182"/>
      <c r="J191" s="276"/>
      <c r="K191" s="184"/>
      <c r="M191" s="179"/>
    </row>
    <row r="192" spans="2:13" ht="15.6" hidden="1" x14ac:dyDescent="0.3">
      <c r="B192" s="511"/>
      <c r="C192" s="279"/>
      <c r="D192" s="304"/>
      <c r="E192" s="321"/>
      <c r="F192" s="304"/>
      <c r="G192" s="305">
        <f t="shared" si="11"/>
        <v>0</v>
      </c>
      <c r="H192" s="177"/>
      <c r="I192" s="182"/>
      <c r="J192" s="276"/>
      <c r="K192" s="184"/>
      <c r="M192" s="179"/>
    </row>
    <row r="193" spans="2:13" ht="15.6" hidden="1" x14ac:dyDescent="0.3">
      <c r="B193" s="511"/>
      <c r="C193" s="279"/>
      <c r="D193" s="304"/>
      <c r="E193" s="321"/>
      <c r="F193" s="304"/>
      <c r="G193" s="305">
        <f t="shared" si="11"/>
        <v>0</v>
      </c>
      <c r="H193" s="177"/>
      <c r="I193" s="182"/>
      <c r="J193" s="276"/>
      <c r="K193" s="184"/>
    </row>
    <row r="194" spans="2:13" ht="15.6" hidden="1" x14ac:dyDescent="0.3">
      <c r="B194" s="511"/>
      <c r="C194" s="279"/>
      <c r="D194" s="304"/>
      <c r="E194" s="321"/>
      <c r="F194" s="304"/>
      <c r="G194" s="305">
        <f t="shared" si="11"/>
        <v>0</v>
      </c>
      <c r="H194" s="177"/>
      <c r="I194" s="182"/>
      <c r="J194" s="276"/>
      <c r="K194" s="184"/>
    </row>
    <row r="195" spans="2:13" ht="15.6" hidden="1" x14ac:dyDescent="0.3">
      <c r="B195" s="512"/>
      <c r="C195" s="279"/>
      <c r="D195" s="304"/>
      <c r="E195" s="321"/>
      <c r="F195" s="304"/>
      <c r="G195" s="305">
        <f t="shared" si="11"/>
        <v>0</v>
      </c>
      <c r="H195" s="177"/>
      <c r="I195" s="182"/>
      <c r="J195" s="276"/>
      <c r="K195" s="184"/>
    </row>
    <row r="196" spans="2:13" ht="15.6" hidden="1" x14ac:dyDescent="0.3">
      <c r="B196" s="510"/>
      <c r="C196" s="279"/>
      <c r="D196" s="304"/>
      <c r="E196" s="321"/>
      <c r="F196" s="304"/>
      <c r="G196" s="305">
        <f t="shared" si="11"/>
        <v>0</v>
      </c>
      <c r="H196" s="177"/>
      <c r="I196" s="182"/>
      <c r="J196" s="276"/>
      <c r="K196" s="184"/>
    </row>
    <row r="197" spans="2:13" ht="15.6" hidden="1" x14ac:dyDescent="0.3">
      <c r="B197" s="511"/>
      <c r="C197" s="279"/>
      <c r="D197" s="304"/>
      <c r="E197" s="321"/>
      <c r="F197" s="304"/>
      <c r="G197" s="305">
        <f t="shared" si="11"/>
        <v>0</v>
      </c>
      <c r="H197" s="177"/>
      <c r="I197" s="182"/>
      <c r="J197" s="276"/>
      <c r="K197" s="184"/>
      <c r="M197" s="179"/>
    </row>
    <row r="198" spans="2:13" ht="15.6" hidden="1" x14ac:dyDescent="0.3">
      <c r="B198" s="511"/>
      <c r="C198" s="279"/>
      <c r="D198" s="304"/>
      <c r="E198" s="321"/>
      <c r="F198" s="304"/>
      <c r="G198" s="305">
        <f t="shared" si="11"/>
        <v>0</v>
      </c>
      <c r="H198" s="177"/>
      <c r="I198" s="182"/>
      <c r="J198" s="276"/>
      <c r="K198" s="184"/>
      <c r="M198" s="179"/>
    </row>
    <row r="199" spans="2:13" ht="15.6" hidden="1" x14ac:dyDescent="0.3">
      <c r="B199" s="511"/>
      <c r="C199" s="279"/>
      <c r="D199" s="304"/>
      <c r="E199" s="321"/>
      <c r="F199" s="304"/>
      <c r="G199" s="305">
        <f t="shared" si="11"/>
        <v>0</v>
      </c>
      <c r="H199" s="177"/>
      <c r="I199" s="182"/>
      <c r="J199" s="276"/>
      <c r="K199" s="184"/>
    </row>
    <row r="200" spans="2:13" ht="15.6" hidden="1" x14ac:dyDescent="0.3">
      <c r="B200" s="512"/>
      <c r="C200" s="279"/>
      <c r="D200" s="304"/>
      <c r="E200" s="321"/>
      <c r="F200" s="304"/>
      <c r="G200" s="305">
        <f t="shared" si="11"/>
        <v>0</v>
      </c>
      <c r="H200" s="177"/>
      <c r="I200" s="182"/>
      <c r="J200" s="276"/>
      <c r="K200" s="184"/>
    </row>
    <row r="201" spans="2:13" ht="15.6" hidden="1" x14ac:dyDescent="0.3">
      <c r="B201" s="510"/>
      <c r="C201" s="279"/>
      <c r="D201" s="304"/>
      <c r="E201" s="321"/>
      <c r="F201" s="304"/>
      <c r="G201" s="305">
        <f t="shared" si="11"/>
        <v>0</v>
      </c>
      <c r="H201" s="177"/>
      <c r="I201" s="182"/>
      <c r="J201" s="276"/>
      <c r="K201" s="184"/>
    </row>
    <row r="202" spans="2:13" ht="15.6" hidden="1" x14ac:dyDescent="0.3">
      <c r="B202" s="511"/>
      <c r="C202" s="279"/>
      <c r="D202" s="304"/>
      <c r="E202" s="321"/>
      <c r="F202" s="304"/>
      <c r="G202" s="305">
        <f t="shared" si="11"/>
        <v>0</v>
      </c>
      <c r="H202" s="177"/>
      <c r="I202" s="182"/>
      <c r="J202" s="276"/>
      <c r="K202" s="184"/>
      <c r="M202" s="179"/>
    </row>
    <row r="203" spans="2:13" ht="15.6" hidden="1" x14ac:dyDescent="0.3">
      <c r="B203" s="511"/>
      <c r="C203" s="279"/>
      <c r="D203" s="304"/>
      <c r="E203" s="321"/>
      <c r="F203" s="304"/>
      <c r="G203" s="305">
        <f t="shared" si="11"/>
        <v>0</v>
      </c>
      <c r="H203" s="177"/>
      <c r="I203" s="182"/>
      <c r="J203" s="276"/>
      <c r="K203" s="184"/>
      <c r="M203" s="179"/>
    </row>
    <row r="204" spans="2:13" ht="15.6" hidden="1" x14ac:dyDescent="0.3">
      <c r="B204" s="511"/>
      <c r="C204" s="279"/>
      <c r="D204" s="304"/>
      <c r="E204" s="321"/>
      <c r="F204" s="304"/>
      <c r="G204" s="305">
        <f t="shared" si="11"/>
        <v>0</v>
      </c>
      <c r="H204" s="177"/>
      <c r="I204" s="182"/>
      <c r="J204" s="276"/>
      <c r="K204" s="184"/>
    </row>
    <row r="205" spans="2:13" ht="15.6" hidden="1" x14ac:dyDescent="0.3">
      <c r="B205" s="512"/>
      <c r="C205" s="279"/>
      <c r="D205" s="304"/>
      <c r="E205" s="321"/>
      <c r="F205" s="304"/>
      <c r="G205" s="305">
        <f t="shared" si="11"/>
        <v>0</v>
      </c>
      <c r="H205" s="177"/>
      <c r="I205" s="182"/>
      <c r="J205" s="276"/>
      <c r="K205" s="184"/>
    </row>
    <row r="206" spans="2:13" ht="15.6" hidden="1" x14ac:dyDescent="0.3">
      <c r="B206" s="513"/>
      <c r="C206" s="279"/>
      <c r="D206" s="304"/>
      <c r="E206" s="321"/>
      <c r="F206" s="304"/>
      <c r="G206" s="305">
        <f t="shared" si="11"/>
        <v>0</v>
      </c>
      <c r="H206" s="177"/>
      <c r="I206" s="182"/>
      <c r="J206" s="276"/>
      <c r="K206" s="184"/>
      <c r="M206" s="179"/>
    </row>
    <row r="207" spans="2:13" ht="15.6" hidden="1" x14ac:dyDescent="0.3">
      <c r="B207" s="513"/>
      <c r="C207" s="279"/>
      <c r="D207" s="304"/>
      <c r="E207" s="321"/>
      <c r="F207" s="304"/>
      <c r="G207" s="305">
        <f t="shared" si="11"/>
        <v>0</v>
      </c>
      <c r="H207" s="177"/>
      <c r="I207" s="182"/>
      <c r="J207" s="276"/>
      <c r="K207" s="184"/>
    </row>
    <row r="208" spans="2:13" ht="15.6" hidden="1" x14ac:dyDescent="0.3">
      <c r="B208" s="513"/>
      <c r="C208" s="279"/>
      <c r="D208" s="304"/>
      <c r="E208" s="321"/>
      <c r="F208" s="304"/>
      <c r="G208" s="305">
        <f t="shared" si="11"/>
        <v>0</v>
      </c>
      <c r="H208" s="177"/>
      <c r="I208" s="182"/>
      <c r="J208" s="276"/>
      <c r="K208" s="184"/>
    </row>
    <row r="209" spans="2:13" ht="15.6" hidden="1" x14ac:dyDescent="0.3">
      <c r="B209" s="513"/>
      <c r="C209" s="279"/>
      <c r="D209" s="304"/>
      <c r="E209" s="321"/>
      <c r="F209" s="304"/>
      <c r="G209" s="305">
        <f t="shared" si="11"/>
        <v>0</v>
      </c>
      <c r="H209" s="177"/>
      <c r="I209" s="182"/>
      <c r="J209" s="279"/>
      <c r="K209" s="184"/>
    </row>
    <row r="210" spans="2:13" ht="15.6" hidden="1" x14ac:dyDescent="0.3">
      <c r="B210" s="513"/>
      <c r="C210" s="279"/>
      <c r="D210" s="304"/>
      <c r="E210" s="321"/>
      <c r="F210" s="304"/>
      <c r="G210" s="305">
        <f t="shared" si="11"/>
        <v>0</v>
      </c>
      <c r="H210" s="177"/>
      <c r="I210" s="182"/>
      <c r="J210" s="276"/>
      <c r="K210" s="184"/>
    </row>
    <row r="211" spans="2:13" ht="15.6" hidden="1" x14ac:dyDescent="0.3">
      <c r="B211" s="510"/>
      <c r="C211" s="279"/>
      <c r="D211" s="304"/>
      <c r="E211" s="321"/>
      <c r="F211" s="304"/>
      <c r="G211" s="305">
        <f t="shared" si="11"/>
        <v>0</v>
      </c>
      <c r="H211" s="177"/>
      <c r="I211" s="182"/>
      <c r="J211" s="276"/>
      <c r="K211" s="184"/>
    </row>
    <row r="212" spans="2:13" ht="15.6" hidden="1" x14ac:dyDescent="0.3">
      <c r="B212" s="511"/>
      <c r="C212" s="279"/>
      <c r="D212" s="304"/>
      <c r="E212" s="321"/>
      <c r="F212" s="304"/>
      <c r="G212" s="305">
        <f t="shared" si="11"/>
        <v>0</v>
      </c>
      <c r="H212" s="177"/>
      <c r="I212" s="182"/>
      <c r="J212" s="276"/>
      <c r="K212" s="184"/>
      <c r="M212" s="179"/>
    </row>
    <row r="213" spans="2:13" ht="15.6" hidden="1" x14ac:dyDescent="0.3">
      <c r="B213" s="511"/>
      <c r="C213" s="279"/>
      <c r="D213" s="304"/>
      <c r="E213" s="321"/>
      <c r="F213" s="304"/>
      <c r="G213" s="305">
        <f t="shared" si="11"/>
        <v>0</v>
      </c>
      <c r="H213" s="177"/>
      <c r="I213" s="182"/>
      <c r="J213" s="276"/>
      <c r="K213" s="184"/>
    </row>
    <row r="214" spans="2:13" ht="15.6" hidden="1" x14ac:dyDescent="0.3">
      <c r="B214" s="511"/>
      <c r="C214" s="279"/>
      <c r="D214" s="304"/>
      <c r="E214" s="321"/>
      <c r="F214" s="304"/>
      <c r="G214" s="305">
        <f t="shared" si="11"/>
        <v>0</v>
      </c>
      <c r="H214" s="177"/>
      <c r="I214" s="182"/>
      <c r="J214" s="276"/>
      <c r="K214" s="184"/>
    </row>
    <row r="215" spans="2:13" ht="15.6" hidden="1" x14ac:dyDescent="0.3">
      <c r="B215" s="512"/>
      <c r="C215" s="279"/>
      <c r="D215" s="304"/>
      <c r="E215" s="321"/>
      <c r="F215" s="304"/>
      <c r="G215" s="305">
        <f t="shared" si="11"/>
        <v>0</v>
      </c>
      <c r="H215" s="177"/>
      <c r="I215" s="182"/>
      <c r="J215" s="276"/>
      <c r="K215" s="184"/>
    </row>
    <row r="216" spans="2:13" ht="48.6" hidden="1" customHeight="1" x14ac:dyDescent="0.3">
      <c r="B216" s="513"/>
      <c r="C216" s="279"/>
      <c r="D216" s="304"/>
      <c r="E216" s="321"/>
      <c r="F216" s="304"/>
      <c r="G216" s="305">
        <f t="shared" si="11"/>
        <v>0</v>
      </c>
      <c r="H216" s="177"/>
      <c r="I216" s="182"/>
      <c r="J216" s="276"/>
      <c r="K216" s="184"/>
    </row>
    <row r="217" spans="2:13" ht="18.600000000000001" hidden="1" customHeight="1" x14ac:dyDescent="0.3">
      <c r="B217" s="513"/>
      <c r="C217" s="279"/>
      <c r="D217" s="304"/>
      <c r="E217" s="321"/>
      <c r="F217" s="304"/>
      <c r="G217" s="305">
        <f t="shared" si="11"/>
        <v>0</v>
      </c>
      <c r="H217" s="177"/>
      <c r="I217" s="182"/>
      <c r="J217" s="276"/>
      <c r="K217" s="184"/>
      <c r="M217" s="179"/>
    </row>
    <row r="218" spans="2:13" ht="18.600000000000001" hidden="1" customHeight="1" x14ac:dyDescent="0.3">
      <c r="B218" s="513"/>
      <c r="C218" s="279"/>
      <c r="D218" s="304"/>
      <c r="E218" s="321"/>
      <c r="F218" s="304"/>
      <c r="G218" s="305">
        <f t="shared" si="11"/>
        <v>0</v>
      </c>
      <c r="H218" s="177"/>
      <c r="I218" s="182"/>
      <c r="J218" s="276"/>
      <c r="K218" s="184"/>
    </row>
    <row r="219" spans="2:13" ht="18.600000000000001" hidden="1" customHeight="1" x14ac:dyDescent="0.3">
      <c r="B219" s="513"/>
      <c r="C219" s="279"/>
      <c r="D219" s="304"/>
      <c r="E219" s="321"/>
      <c r="F219" s="304"/>
      <c r="G219" s="305">
        <f t="shared" si="11"/>
        <v>0</v>
      </c>
      <c r="H219" s="177"/>
      <c r="I219" s="182"/>
      <c r="J219" s="276"/>
      <c r="K219" s="184"/>
    </row>
    <row r="220" spans="2:13" ht="18.600000000000001" hidden="1" customHeight="1" x14ac:dyDescent="0.3">
      <c r="B220" s="513"/>
      <c r="C220" s="279"/>
      <c r="D220" s="304"/>
      <c r="E220" s="321"/>
      <c r="F220" s="304"/>
      <c r="G220" s="305">
        <f t="shared" si="11"/>
        <v>0</v>
      </c>
      <c r="H220" s="177"/>
      <c r="I220" s="182"/>
      <c r="J220" s="276"/>
      <c r="K220" s="184"/>
    </row>
    <row r="221" spans="2:13" ht="15.6" hidden="1" x14ac:dyDescent="0.3">
      <c r="B221" s="510"/>
      <c r="C221" s="279"/>
      <c r="D221" s="304"/>
      <c r="E221" s="321"/>
      <c r="F221" s="304"/>
      <c r="G221" s="305">
        <f t="shared" si="11"/>
        <v>0</v>
      </c>
      <c r="H221" s="177"/>
      <c r="I221" s="182"/>
      <c r="J221" s="276"/>
      <c r="K221" s="184"/>
    </row>
    <row r="222" spans="2:13" ht="15.6" hidden="1" x14ac:dyDescent="0.3">
      <c r="B222" s="511"/>
      <c r="C222" s="279"/>
      <c r="D222" s="304"/>
      <c r="E222" s="321"/>
      <c r="F222" s="304"/>
      <c r="G222" s="305">
        <f t="shared" si="11"/>
        <v>0</v>
      </c>
      <c r="H222" s="177"/>
      <c r="I222" s="182"/>
      <c r="J222" s="276"/>
      <c r="K222" s="184"/>
      <c r="M222" s="179"/>
    </row>
    <row r="223" spans="2:13" ht="15.6" hidden="1" x14ac:dyDescent="0.3">
      <c r="B223" s="511"/>
      <c r="C223" s="279"/>
      <c r="D223" s="304"/>
      <c r="E223" s="321"/>
      <c r="F223" s="304"/>
      <c r="G223" s="305">
        <f t="shared" si="11"/>
        <v>0</v>
      </c>
      <c r="H223" s="177"/>
      <c r="I223" s="182"/>
      <c r="J223" s="276"/>
      <c r="K223" s="184"/>
    </row>
    <row r="224" spans="2:13" ht="15.6" hidden="1" x14ac:dyDescent="0.3">
      <c r="B224" s="511"/>
      <c r="C224" s="279"/>
      <c r="D224" s="304"/>
      <c r="E224" s="321"/>
      <c r="F224" s="304"/>
      <c r="G224" s="305">
        <f t="shared" si="11"/>
        <v>0</v>
      </c>
      <c r="H224" s="177"/>
      <c r="I224" s="182"/>
      <c r="J224" s="276"/>
      <c r="K224" s="184"/>
    </row>
    <row r="225" spans="1:11" ht="15.6" hidden="1" x14ac:dyDescent="0.3">
      <c r="B225" s="512"/>
      <c r="C225" s="279"/>
      <c r="D225" s="304"/>
      <c r="E225" s="321"/>
      <c r="F225" s="304"/>
      <c r="G225" s="305">
        <f t="shared" si="11"/>
        <v>0</v>
      </c>
      <c r="H225" s="177"/>
      <c r="I225" s="182"/>
      <c r="J225" s="276"/>
      <c r="K225" s="184"/>
    </row>
    <row r="226" spans="1:11" ht="36.6" hidden="1" customHeight="1" x14ac:dyDescent="0.3">
      <c r="B226" s="510" t="s">
        <v>71</v>
      </c>
      <c r="C226" s="279"/>
      <c r="D226" s="304"/>
      <c r="E226" s="321"/>
      <c r="F226" s="304"/>
      <c r="G226" s="305">
        <f t="shared" si="11"/>
        <v>0</v>
      </c>
      <c r="H226" s="177"/>
      <c r="I226" s="182"/>
      <c r="J226" s="276"/>
      <c r="K226" s="184"/>
    </row>
    <row r="227" spans="1:11" ht="42" hidden="1" customHeight="1" x14ac:dyDescent="0.3">
      <c r="B227" s="511"/>
      <c r="C227" s="279"/>
      <c r="D227" s="304"/>
      <c r="E227" s="321"/>
      <c r="F227" s="304"/>
      <c r="G227" s="305">
        <f t="shared" si="11"/>
        <v>0</v>
      </c>
      <c r="H227" s="177"/>
      <c r="I227" s="182"/>
      <c r="J227" s="276"/>
      <c r="K227" s="184"/>
    </row>
    <row r="228" spans="1:11" ht="42" hidden="1" customHeight="1" x14ac:dyDescent="0.3">
      <c r="B228" s="511"/>
      <c r="C228" s="279"/>
      <c r="D228" s="304"/>
      <c r="E228" s="321"/>
      <c r="F228" s="304"/>
      <c r="G228" s="305">
        <f t="shared" si="11"/>
        <v>0</v>
      </c>
      <c r="H228" s="177"/>
      <c r="I228" s="182"/>
      <c r="J228" s="276"/>
      <c r="K228" s="184"/>
    </row>
    <row r="229" spans="1:11" ht="34.799999999999997" hidden="1" customHeight="1" x14ac:dyDescent="0.3">
      <c r="A229" s="31"/>
      <c r="B229" s="511"/>
      <c r="C229" s="269"/>
      <c r="D229" s="304"/>
      <c r="E229" s="321"/>
      <c r="F229" s="304"/>
      <c r="G229" s="305">
        <f t="shared" si="11"/>
        <v>0</v>
      </c>
      <c r="H229" s="219"/>
      <c r="I229" s="220"/>
      <c r="J229" s="278"/>
      <c r="K229" s="184"/>
    </row>
    <row r="230" spans="1:11" s="31" customFormat="1" ht="64.8" hidden="1" customHeight="1" x14ac:dyDescent="0.3">
      <c r="B230" s="512"/>
      <c r="C230" s="269"/>
      <c r="D230" s="304"/>
      <c r="E230" s="321"/>
      <c r="F230" s="304"/>
      <c r="G230" s="305">
        <f t="shared" si="11"/>
        <v>0</v>
      </c>
      <c r="H230" s="219"/>
      <c r="I230" s="220"/>
      <c r="J230" s="278"/>
      <c r="K230" s="184"/>
    </row>
    <row r="231" spans="1:11" s="31" customFormat="1" ht="15.6" x14ac:dyDescent="0.3">
      <c r="A231" s="30"/>
      <c r="B231" s="272"/>
      <c r="C231" s="79" t="s">
        <v>72</v>
      </c>
      <c r="D231" s="309">
        <f>SUM(D135:D230)</f>
        <v>0</v>
      </c>
      <c r="E231" s="309">
        <f>SUM(E135:E230)</f>
        <v>71000</v>
      </c>
      <c r="F231" s="309">
        <f>SUM(F135:F230)</f>
        <v>0</v>
      </c>
      <c r="G231" s="309">
        <f>SUM(G135:G230)</f>
        <v>71000</v>
      </c>
      <c r="H231" s="309">
        <f>(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H200*G200)+(H201*G201)+(H202*G202)+(H203*G203)+(H204*G204)+(H205*G205)+(H206*G206)+(H207*G207)+(H208*G208)+(H209*G209)+(H210*G210)+(H211*G211)+(H212*G212)+(H213*G213)+(H214*G214)+(H215*G215)+(H216*G216)+(H217*G217)+(H218*G218)+(H219*G219)+(H220*G220)+(H221*G221)+(H222*G222)+(H223*G223)+(H224*G224)+(H225*G225)+(H226*G226)+(H227*G227)+(H228*G228)+(H229*G229)+(H230*G230)</f>
        <v>71000</v>
      </c>
      <c r="I231" s="309">
        <f>SUM(I135:I230)</f>
        <v>0</v>
      </c>
      <c r="J231" s="278"/>
      <c r="K231" s="394"/>
    </row>
    <row r="232" spans="1:11" ht="34.200000000000003" customHeight="1" x14ac:dyDescent="0.3">
      <c r="B232" s="78" t="s">
        <v>73</v>
      </c>
      <c r="C232" s="459" t="s">
        <v>610</v>
      </c>
      <c r="D232" s="460"/>
      <c r="E232" s="460"/>
      <c r="F232" s="460"/>
      <c r="G232" s="460"/>
      <c r="H232" s="460"/>
      <c r="I232" s="460"/>
      <c r="J232" s="462"/>
      <c r="K232" s="395"/>
    </row>
    <row r="233" spans="1:11" ht="15.6" hidden="1" x14ac:dyDescent="0.3">
      <c r="B233" s="504" t="s">
        <v>621</v>
      </c>
      <c r="C233" s="381"/>
      <c r="D233" s="257"/>
      <c r="E233" s="383"/>
      <c r="F233" s="257"/>
      <c r="G233" s="258">
        <f>D233+E233+F233</f>
        <v>0</v>
      </c>
      <c r="H233" s="177"/>
      <c r="I233" s="182"/>
      <c r="J233" s="276"/>
      <c r="K233" s="184"/>
    </row>
    <row r="234" spans="1:11" ht="27" customHeight="1" x14ac:dyDescent="0.3">
      <c r="B234" s="505"/>
      <c r="C234" s="273" t="s">
        <v>551</v>
      </c>
      <c r="D234" s="359">
        <v>3000</v>
      </c>
      <c r="E234" s="385">
        <v>20000</v>
      </c>
      <c r="F234" s="257"/>
      <c r="G234" s="378">
        <f t="shared" ref="G234:G235" si="12">D234+E234+F234</f>
        <v>23000</v>
      </c>
      <c r="H234" s="177">
        <v>1</v>
      </c>
      <c r="I234" s="182"/>
      <c r="J234" s="276"/>
      <c r="K234" s="184">
        <v>4</v>
      </c>
    </row>
    <row r="235" spans="1:11" ht="27" customHeight="1" x14ac:dyDescent="0.3">
      <c r="B235" s="505"/>
      <c r="C235" s="273" t="s">
        <v>569</v>
      </c>
      <c r="D235" s="359">
        <v>1000</v>
      </c>
      <c r="E235" s="385">
        <v>2000</v>
      </c>
      <c r="F235" s="257"/>
      <c r="G235" s="378">
        <f t="shared" si="12"/>
        <v>3000</v>
      </c>
      <c r="H235" s="177">
        <v>1</v>
      </c>
      <c r="I235" s="182"/>
      <c r="J235" s="276"/>
      <c r="K235" s="184">
        <v>5</v>
      </c>
    </row>
    <row r="236" spans="1:11" ht="27" customHeight="1" x14ac:dyDescent="0.3">
      <c r="B236" s="505"/>
      <c r="C236" s="387" t="s">
        <v>576</v>
      </c>
      <c r="D236" s="359"/>
      <c r="E236" s="385">
        <v>20000</v>
      </c>
      <c r="F236" s="257"/>
      <c r="G236" s="378">
        <f>D236+E236+F236</f>
        <v>20000</v>
      </c>
      <c r="H236" s="177">
        <v>1</v>
      </c>
      <c r="I236" s="182"/>
      <c r="J236" s="276"/>
      <c r="K236" s="184">
        <v>4</v>
      </c>
    </row>
    <row r="237" spans="1:11" ht="27" customHeight="1" x14ac:dyDescent="0.3">
      <c r="B237" s="506"/>
      <c r="C237" s="285" t="s">
        <v>65</v>
      </c>
      <c r="D237" s="359"/>
      <c r="E237" s="385">
        <v>2000</v>
      </c>
      <c r="F237" s="257"/>
      <c r="G237" s="378">
        <f t="shared" ref="G237:G272" si="13">D237+E237+F237</f>
        <v>2000</v>
      </c>
      <c r="H237" s="177">
        <v>1</v>
      </c>
      <c r="I237" s="182"/>
      <c r="J237" s="276"/>
      <c r="K237" s="184">
        <v>2</v>
      </c>
    </row>
    <row r="238" spans="1:11" ht="31.8" hidden="1" customHeight="1" x14ac:dyDescent="0.3">
      <c r="B238" s="507"/>
      <c r="C238" s="336"/>
      <c r="D238" s="331"/>
      <c r="E238" s="331"/>
      <c r="F238" s="338"/>
      <c r="G238" s="332"/>
      <c r="H238" s="333"/>
      <c r="I238" s="334"/>
      <c r="J238" s="335"/>
      <c r="K238" s="184">
        <v>4</v>
      </c>
    </row>
    <row r="239" spans="1:11" ht="31.8" hidden="1" customHeight="1" x14ac:dyDescent="0.3">
      <c r="B239" s="508"/>
      <c r="C239" s="330"/>
      <c r="D239" s="331"/>
      <c r="E239" s="331"/>
      <c r="F239" s="338"/>
      <c r="G239" s="332"/>
      <c r="H239" s="333"/>
      <c r="I239" s="334"/>
      <c r="J239" s="335"/>
      <c r="K239" s="184">
        <v>4</v>
      </c>
    </row>
    <row r="240" spans="1:11" ht="31.8" hidden="1" customHeight="1" x14ac:dyDescent="0.3">
      <c r="B240" s="509"/>
      <c r="C240" s="337"/>
      <c r="D240" s="331"/>
      <c r="E240" s="331"/>
      <c r="F240" s="338"/>
      <c r="G240" s="332"/>
      <c r="H240" s="333"/>
      <c r="I240" s="334"/>
      <c r="J240" s="335"/>
      <c r="K240" s="184">
        <v>2</v>
      </c>
    </row>
    <row r="241" spans="2:13" ht="20.399999999999999" customHeight="1" x14ac:dyDescent="0.3">
      <c r="B241" s="504" t="s">
        <v>600</v>
      </c>
      <c r="C241" s="280" t="s">
        <v>580</v>
      </c>
      <c r="D241" s="304">
        <v>10000</v>
      </c>
      <c r="E241" s="321"/>
      <c r="F241" s="180"/>
      <c r="G241" s="305">
        <f t="shared" si="13"/>
        <v>10000</v>
      </c>
      <c r="H241" s="177">
        <v>1</v>
      </c>
      <c r="I241" s="182"/>
      <c r="J241" s="276"/>
      <c r="K241" s="184">
        <v>4</v>
      </c>
    </row>
    <row r="242" spans="2:13" ht="20.399999999999999" customHeight="1" x14ac:dyDescent="0.3">
      <c r="B242" s="505"/>
      <c r="C242" s="282" t="s">
        <v>581</v>
      </c>
      <c r="D242" s="304">
        <v>12000</v>
      </c>
      <c r="E242" s="321"/>
      <c r="F242" s="180"/>
      <c r="G242" s="305">
        <f t="shared" si="13"/>
        <v>12000</v>
      </c>
      <c r="H242" s="177">
        <v>1</v>
      </c>
      <c r="I242" s="182"/>
      <c r="J242" s="276"/>
      <c r="K242" s="184">
        <v>4</v>
      </c>
    </row>
    <row r="243" spans="2:13" ht="20.399999999999999" customHeight="1" x14ac:dyDescent="0.3">
      <c r="B243" s="505"/>
      <c r="C243" s="282" t="s">
        <v>615</v>
      </c>
      <c r="D243" s="304">
        <v>10000</v>
      </c>
      <c r="E243" s="321"/>
      <c r="F243" s="180"/>
      <c r="G243" s="305">
        <f t="shared" si="13"/>
        <v>10000</v>
      </c>
      <c r="H243" s="177">
        <v>1</v>
      </c>
      <c r="I243" s="182"/>
      <c r="J243" s="276"/>
      <c r="K243" s="184">
        <v>4</v>
      </c>
    </row>
    <row r="244" spans="2:13" ht="20.399999999999999" customHeight="1" x14ac:dyDescent="0.3">
      <c r="B244" s="506"/>
      <c r="C244" s="282" t="s">
        <v>65</v>
      </c>
      <c r="D244" s="304">
        <v>2000</v>
      </c>
      <c r="E244" s="321"/>
      <c r="F244" s="180"/>
      <c r="G244" s="305">
        <f t="shared" si="13"/>
        <v>2000</v>
      </c>
      <c r="H244" s="177">
        <v>1</v>
      </c>
      <c r="I244" s="182"/>
      <c r="J244" s="276"/>
      <c r="K244" s="184">
        <v>2</v>
      </c>
    </row>
    <row r="245" spans="2:13" ht="32.4" hidden="1" customHeight="1" x14ac:dyDescent="0.3">
      <c r="B245" s="498"/>
      <c r="C245" s="280"/>
      <c r="D245" s="304"/>
      <c r="E245" s="321"/>
      <c r="F245" s="180"/>
      <c r="G245" s="305">
        <f t="shared" si="13"/>
        <v>0</v>
      </c>
      <c r="H245" s="177">
        <v>1</v>
      </c>
      <c r="I245" s="182"/>
      <c r="J245" s="276"/>
      <c r="K245" s="184">
        <v>4</v>
      </c>
    </row>
    <row r="246" spans="2:13" ht="32.4" hidden="1" customHeight="1" x14ac:dyDescent="0.3">
      <c r="B246" s="499"/>
      <c r="C246" s="282"/>
      <c r="D246" s="304"/>
      <c r="E246" s="321"/>
      <c r="F246" s="180"/>
      <c r="G246" s="305"/>
      <c r="H246" s="177">
        <v>1</v>
      </c>
      <c r="I246" s="182"/>
      <c r="J246" s="276"/>
      <c r="K246" s="184">
        <v>4</v>
      </c>
    </row>
    <row r="247" spans="2:13" ht="32.4" hidden="1" customHeight="1" x14ac:dyDescent="0.3">
      <c r="B247" s="520"/>
      <c r="C247" s="282"/>
      <c r="D247" s="304"/>
      <c r="E247" s="321"/>
      <c r="F247" s="180"/>
      <c r="G247" s="305">
        <f t="shared" si="13"/>
        <v>0</v>
      </c>
      <c r="H247" s="177">
        <v>1</v>
      </c>
      <c r="I247" s="182"/>
      <c r="J247" s="276"/>
      <c r="K247" s="184">
        <v>2</v>
      </c>
    </row>
    <row r="248" spans="2:13" ht="15.6" hidden="1" x14ac:dyDescent="0.3">
      <c r="B248" s="510"/>
      <c r="C248" s="279"/>
      <c r="D248" s="180"/>
      <c r="E248" s="223"/>
      <c r="F248" s="180"/>
      <c r="G248" s="217">
        <f t="shared" si="13"/>
        <v>0</v>
      </c>
      <c r="H248" s="177"/>
      <c r="I248" s="182"/>
      <c r="J248" s="276"/>
      <c r="K248" s="184"/>
    </row>
    <row r="249" spans="2:13" ht="35.4" hidden="1" customHeight="1" x14ac:dyDescent="0.3">
      <c r="B249" s="511"/>
      <c r="C249" s="279"/>
      <c r="D249" s="180"/>
      <c r="E249" s="223"/>
      <c r="F249" s="180"/>
      <c r="G249" s="217">
        <f t="shared" si="13"/>
        <v>0</v>
      </c>
      <c r="H249" s="177"/>
      <c r="I249" s="182"/>
      <c r="J249" s="276"/>
      <c r="K249" s="184"/>
      <c r="M249" s="179"/>
    </row>
    <row r="250" spans="2:13" ht="15.6" hidden="1" x14ac:dyDescent="0.3">
      <c r="B250" s="511"/>
      <c r="C250" s="279"/>
      <c r="D250" s="180"/>
      <c r="E250" s="223"/>
      <c r="F250" s="180"/>
      <c r="G250" s="217">
        <f t="shared" si="13"/>
        <v>0</v>
      </c>
      <c r="H250" s="177"/>
      <c r="I250" s="182"/>
      <c r="J250" s="276"/>
      <c r="K250" s="184"/>
    </row>
    <row r="251" spans="2:13" ht="15.6" hidden="1" x14ac:dyDescent="0.3">
      <c r="B251" s="511"/>
      <c r="C251" s="279"/>
      <c r="D251" s="180"/>
      <c r="E251" s="223"/>
      <c r="F251" s="180"/>
      <c r="G251" s="217">
        <f t="shared" si="13"/>
        <v>0</v>
      </c>
      <c r="H251" s="177"/>
      <c r="I251" s="182"/>
      <c r="J251" s="276"/>
      <c r="K251" s="184"/>
    </row>
    <row r="252" spans="2:13" ht="15.6" hidden="1" x14ac:dyDescent="0.3">
      <c r="B252" s="512"/>
      <c r="C252" s="279"/>
      <c r="D252" s="180"/>
      <c r="E252" s="223"/>
      <c r="F252" s="180"/>
      <c r="G252" s="217">
        <f t="shared" si="13"/>
        <v>0</v>
      </c>
      <c r="H252" s="177"/>
      <c r="I252" s="182"/>
      <c r="J252" s="276"/>
      <c r="K252" s="184"/>
    </row>
    <row r="253" spans="2:13" ht="15.6" hidden="1" x14ac:dyDescent="0.3">
      <c r="B253" s="510"/>
      <c r="C253" s="279"/>
      <c r="D253" s="180"/>
      <c r="E253" s="223"/>
      <c r="F253" s="180"/>
      <c r="G253" s="217">
        <f t="shared" si="13"/>
        <v>0</v>
      </c>
      <c r="H253" s="177"/>
      <c r="I253" s="182"/>
      <c r="J253" s="276"/>
      <c r="K253" s="184"/>
    </row>
    <row r="254" spans="2:13" ht="15.6" hidden="1" x14ac:dyDescent="0.3">
      <c r="B254" s="511"/>
      <c r="C254" s="279"/>
      <c r="D254" s="180"/>
      <c r="E254" s="223"/>
      <c r="F254" s="180"/>
      <c r="G254" s="217">
        <f t="shared" si="13"/>
        <v>0</v>
      </c>
      <c r="H254" s="177"/>
      <c r="I254" s="182"/>
      <c r="J254" s="276"/>
      <c r="K254" s="184"/>
      <c r="M254" s="179"/>
    </row>
    <row r="255" spans="2:13" ht="19.95" hidden="1" customHeight="1" x14ac:dyDescent="0.3">
      <c r="B255" s="511"/>
      <c r="C255" s="279"/>
      <c r="D255" s="180"/>
      <c r="E255" s="223"/>
      <c r="F255" s="180"/>
      <c r="G255" s="217">
        <f t="shared" si="13"/>
        <v>0</v>
      </c>
      <c r="H255" s="177"/>
      <c r="I255" s="182"/>
      <c r="J255" s="276"/>
      <c r="K255" s="184"/>
    </row>
    <row r="256" spans="2:13" ht="19.95" hidden="1" customHeight="1" x14ac:dyDescent="0.3">
      <c r="B256" s="511"/>
      <c r="C256" s="279"/>
      <c r="D256" s="180"/>
      <c r="E256" s="223"/>
      <c r="F256" s="180"/>
      <c r="G256" s="217">
        <f t="shared" si="13"/>
        <v>0</v>
      </c>
      <c r="H256" s="177"/>
      <c r="I256" s="182"/>
      <c r="J256" s="276"/>
      <c r="K256" s="184"/>
    </row>
    <row r="257" spans="2:13" ht="19.95" hidden="1" customHeight="1" x14ac:dyDescent="0.3">
      <c r="B257" s="512"/>
      <c r="C257" s="279"/>
      <c r="D257" s="180"/>
      <c r="E257" s="223"/>
      <c r="F257" s="180"/>
      <c r="G257" s="217">
        <f t="shared" si="13"/>
        <v>0</v>
      </c>
      <c r="H257" s="177"/>
      <c r="I257" s="182"/>
      <c r="J257" s="276"/>
      <c r="K257" s="184"/>
    </row>
    <row r="258" spans="2:13" ht="34.200000000000003" hidden="1" customHeight="1" x14ac:dyDescent="0.3">
      <c r="B258" s="510"/>
      <c r="C258" s="279"/>
      <c r="D258" s="180"/>
      <c r="E258" s="223"/>
      <c r="F258" s="180"/>
      <c r="G258" s="217">
        <f t="shared" si="13"/>
        <v>0</v>
      </c>
      <c r="H258" s="177"/>
      <c r="I258" s="182"/>
      <c r="J258" s="276"/>
      <c r="K258" s="184"/>
    </row>
    <row r="259" spans="2:13" ht="22.2" hidden="1" customHeight="1" x14ac:dyDescent="0.3">
      <c r="B259" s="511"/>
      <c r="C259" s="279"/>
      <c r="D259" s="180"/>
      <c r="E259" s="223"/>
      <c r="F259" s="180"/>
      <c r="G259" s="217">
        <f t="shared" si="13"/>
        <v>0</v>
      </c>
      <c r="H259" s="177"/>
      <c r="I259" s="182"/>
      <c r="J259" s="276"/>
      <c r="K259" s="184"/>
    </row>
    <row r="260" spans="2:13" ht="22.2" hidden="1" customHeight="1" x14ac:dyDescent="0.3">
      <c r="B260" s="511"/>
      <c r="C260" s="279"/>
      <c r="D260" s="180"/>
      <c r="E260" s="223"/>
      <c r="F260" s="180"/>
      <c r="G260" s="217">
        <f t="shared" si="13"/>
        <v>0</v>
      </c>
      <c r="H260" s="177"/>
      <c r="I260" s="182"/>
      <c r="J260" s="276"/>
      <c r="K260" s="184"/>
      <c r="M260" s="179"/>
    </row>
    <row r="261" spans="2:13" ht="22.2" hidden="1" customHeight="1" x14ac:dyDescent="0.3">
      <c r="B261" s="511"/>
      <c r="C261" s="279"/>
      <c r="D261" s="180"/>
      <c r="E261" s="223"/>
      <c r="F261" s="180"/>
      <c r="G261" s="217">
        <f t="shared" si="13"/>
        <v>0</v>
      </c>
      <c r="H261" s="177"/>
      <c r="I261" s="182"/>
      <c r="J261" s="276"/>
      <c r="K261" s="184"/>
    </row>
    <row r="262" spans="2:13" ht="22.2" hidden="1" customHeight="1" x14ac:dyDescent="0.3">
      <c r="B262" s="512"/>
      <c r="C262" s="279"/>
      <c r="D262" s="180"/>
      <c r="E262" s="223"/>
      <c r="F262" s="180"/>
      <c r="G262" s="217">
        <f t="shared" si="13"/>
        <v>0</v>
      </c>
      <c r="H262" s="177"/>
      <c r="I262" s="182"/>
      <c r="J262" s="276"/>
      <c r="K262" s="184"/>
    </row>
    <row r="263" spans="2:13" ht="15.6" hidden="1" x14ac:dyDescent="0.3">
      <c r="B263" s="510"/>
      <c r="C263" s="279"/>
      <c r="D263" s="180"/>
      <c r="E263" s="223"/>
      <c r="F263" s="180"/>
      <c r="G263" s="217">
        <f t="shared" si="13"/>
        <v>0</v>
      </c>
      <c r="H263" s="177"/>
      <c r="I263" s="182"/>
      <c r="J263" s="276"/>
      <c r="K263" s="184"/>
    </row>
    <row r="264" spans="2:13" ht="15.6" hidden="1" x14ac:dyDescent="0.3">
      <c r="B264" s="511"/>
      <c r="C264" s="279"/>
      <c r="D264" s="180"/>
      <c r="E264" s="223"/>
      <c r="F264" s="180"/>
      <c r="G264" s="217">
        <f t="shared" si="13"/>
        <v>0</v>
      </c>
      <c r="H264" s="177"/>
      <c r="I264" s="182"/>
      <c r="J264" s="276"/>
      <c r="K264" s="184"/>
      <c r="M264" s="179"/>
    </row>
    <row r="265" spans="2:13" ht="19.2" hidden="1" customHeight="1" x14ac:dyDescent="0.3">
      <c r="B265" s="511"/>
      <c r="C265" s="279"/>
      <c r="D265" s="180"/>
      <c r="E265" s="223"/>
      <c r="F265" s="180"/>
      <c r="G265" s="217">
        <f t="shared" si="13"/>
        <v>0</v>
      </c>
      <c r="H265" s="177"/>
      <c r="I265" s="182"/>
      <c r="J265" s="276"/>
      <c r="K265" s="184"/>
    </row>
    <row r="266" spans="2:13" ht="19.2" hidden="1" customHeight="1" x14ac:dyDescent="0.3">
      <c r="B266" s="511"/>
      <c r="C266" s="279"/>
      <c r="D266" s="180"/>
      <c r="E266" s="223"/>
      <c r="F266" s="180"/>
      <c r="G266" s="217">
        <f t="shared" si="13"/>
        <v>0</v>
      </c>
      <c r="H266" s="177"/>
      <c r="I266" s="182"/>
      <c r="J266" s="276"/>
      <c r="K266" s="184"/>
    </row>
    <row r="267" spans="2:13" ht="19.2" hidden="1" customHeight="1" x14ac:dyDescent="0.3">
      <c r="B267" s="512"/>
      <c r="C267" s="279"/>
      <c r="D267" s="180"/>
      <c r="E267" s="223"/>
      <c r="F267" s="180"/>
      <c r="G267" s="217">
        <f t="shared" si="13"/>
        <v>0</v>
      </c>
      <c r="H267" s="177"/>
      <c r="I267" s="182"/>
      <c r="J267" s="276"/>
      <c r="K267" s="184"/>
    </row>
    <row r="268" spans="2:13" ht="15.6" hidden="1" x14ac:dyDescent="0.3">
      <c r="B268" s="510" t="s">
        <v>74</v>
      </c>
      <c r="C268" s="279"/>
      <c r="D268" s="180"/>
      <c r="E268" s="223"/>
      <c r="F268" s="180"/>
      <c r="G268" s="217">
        <f t="shared" si="13"/>
        <v>0</v>
      </c>
      <c r="H268" s="177"/>
      <c r="I268" s="182"/>
      <c r="J268" s="276"/>
      <c r="K268" s="184"/>
    </row>
    <row r="269" spans="2:13" ht="15.6" hidden="1" x14ac:dyDescent="0.3">
      <c r="B269" s="511"/>
      <c r="C269" s="279"/>
      <c r="D269" s="180"/>
      <c r="E269" s="223"/>
      <c r="F269" s="180"/>
      <c r="G269" s="217">
        <f t="shared" si="13"/>
        <v>0</v>
      </c>
      <c r="H269" s="177"/>
      <c r="I269" s="182"/>
      <c r="J269" s="276"/>
      <c r="K269" s="184"/>
    </row>
    <row r="270" spans="2:13" ht="15.6" hidden="1" x14ac:dyDescent="0.3">
      <c r="B270" s="511"/>
      <c r="C270" s="279"/>
      <c r="D270" s="180"/>
      <c r="E270" s="223"/>
      <c r="F270" s="180"/>
      <c r="G270" s="217">
        <f t="shared" si="13"/>
        <v>0</v>
      </c>
      <c r="H270" s="177"/>
      <c r="I270" s="182"/>
      <c r="J270" s="276"/>
      <c r="K270" s="184"/>
    </row>
    <row r="271" spans="2:13" ht="15.6" hidden="1" x14ac:dyDescent="0.3">
      <c r="B271" s="511"/>
      <c r="C271" s="279"/>
      <c r="D271" s="180"/>
      <c r="E271" s="223"/>
      <c r="F271" s="180"/>
      <c r="G271" s="217">
        <f t="shared" si="13"/>
        <v>0</v>
      </c>
      <c r="H271" s="177"/>
      <c r="I271" s="182"/>
      <c r="J271" s="276"/>
      <c r="K271" s="184"/>
    </row>
    <row r="272" spans="2:13" ht="15.6" hidden="1" x14ac:dyDescent="0.3">
      <c r="B272" s="512"/>
      <c r="C272" s="279"/>
      <c r="D272" s="180"/>
      <c r="E272" s="223"/>
      <c r="F272" s="180"/>
      <c r="G272" s="217">
        <f t="shared" si="13"/>
        <v>0</v>
      </c>
      <c r="H272" s="177"/>
      <c r="I272" s="182"/>
      <c r="J272" s="276"/>
      <c r="K272" s="184"/>
    </row>
    <row r="273" spans="2:11" ht="15.6" x14ac:dyDescent="0.3">
      <c r="B273" s="272"/>
      <c r="C273" s="79" t="s">
        <v>75</v>
      </c>
      <c r="D273" s="309">
        <f>SUM(D233:D272)</f>
        <v>38000</v>
      </c>
      <c r="E273" s="309">
        <f>SUM(E233:E272)</f>
        <v>44000</v>
      </c>
      <c r="F273" s="309">
        <f>SUM(F233:F272)</f>
        <v>0</v>
      </c>
      <c r="G273" s="309">
        <f>SUM(G233:G272)</f>
        <v>82000</v>
      </c>
      <c r="H273" s="309">
        <f>(H234*G234)+(H235*G235)+(H236*G236)+(H237*G237)+(H238*G238)+(H239*G239)+(H240*G240)+(H241*G241)+(H242*G242)+(H243*G243)+(H244*G244)+(H245*G245)+(H246*G246)+(H247*G247)+(H248*G248)+(H249*G249)+(H250*G250)+(H251*G251)+(H252*G252)+(H253*G253)+(H254*G254)+(H255*G255)+(H256*G256)+(H257*G257)+(H258*G258)+(H259*G259)+(H260*G260)+(H261*G261)+(H262*G262)+(H263*G263)+(H264*G264)+(H265*G265)+(H266*G266)+(H267*G267)+(H268*G268)+(H269*G269)+(H270*G270)+(H271*G271)+(H272*G272)</f>
        <v>82000</v>
      </c>
      <c r="I273" s="309">
        <f>SUM(I233:I272)</f>
        <v>0</v>
      </c>
      <c r="J273" s="278"/>
      <c r="K273" s="394"/>
    </row>
    <row r="274" spans="2:11" ht="27.6" hidden="1" customHeight="1" x14ac:dyDescent="0.3">
      <c r="B274" s="78" t="s">
        <v>76</v>
      </c>
      <c r="C274" s="457"/>
      <c r="D274" s="457"/>
      <c r="E274" s="457"/>
      <c r="F274" s="457"/>
      <c r="G274" s="457"/>
      <c r="H274" s="457"/>
      <c r="I274" s="458"/>
      <c r="J274" s="457"/>
      <c r="K274" s="186"/>
    </row>
    <row r="275" spans="2:11" ht="15.6" hidden="1" x14ac:dyDescent="0.3">
      <c r="B275" s="510" t="s">
        <v>77</v>
      </c>
      <c r="C275" s="279"/>
      <c r="D275" s="180"/>
      <c r="E275" s="223"/>
      <c r="F275" s="180"/>
      <c r="G275" s="217">
        <f>D275+E275+F275</f>
        <v>0</v>
      </c>
      <c r="H275" s="177"/>
      <c r="I275" s="182"/>
      <c r="J275" s="276"/>
      <c r="K275" s="184"/>
    </row>
    <row r="276" spans="2:11" ht="15.6" hidden="1" x14ac:dyDescent="0.3">
      <c r="B276" s="511"/>
      <c r="C276" s="279"/>
      <c r="D276" s="180"/>
      <c r="E276" s="223"/>
      <c r="F276" s="180"/>
      <c r="G276" s="217">
        <f t="shared" ref="G276:G284" si="14">D276+E276+F276</f>
        <v>0</v>
      </c>
      <c r="H276" s="177"/>
      <c r="I276" s="182"/>
      <c r="J276" s="276"/>
      <c r="K276" s="184"/>
    </row>
    <row r="277" spans="2:11" ht="15.6" hidden="1" x14ac:dyDescent="0.3">
      <c r="B277" s="511"/>
      <c r="C277" s="279"/>
      <c r="D277" s="180"/>
      <c r="E277" s="223"/>
      <c r="F277" s="180"/>
      <c r="G277" s="217">
        <f t="shared" si="14"/>
        <v>0</v>
      </c>
      <c r="H277" s="177"/>
      <c r="I277" s="182"/>
      <c r="J277" s="276"/>
      <c r="K277" s="184"/>
    </row>
    <row r="278" spans="2:11" ht="15.6" hidden="1" x14ac:dyDescent="0.3">
      <c r="B278" s="511"/>
      <c r="C278" s="279"/>
      <c r="D278" s="180"/>
      <c r="E278" s="223"/>
      <c r="F278" s="180"/>
      <c r="G278" s="217">
        <f t="shared" si="14"/>
        <v>0</v>
      </c>
      <c r="H278" s="177"/>
      <c r="I278" s="182"/>
      <c r="J278" s="276"/>
      <c r="K278" s="184"/>
    </row>
    <row r="279" spans="2:11" ht="15.6" hidden="1" x14ac:dyDescent="0.3">
      <c r="B279" s="512"/>
      <c r="C279" s="279"/>
      <c r="D279" s="180"/>
      <c r="E279" s="223"/>
      <c r="F279" s="180"/>
      <c r="G279" s="217">
        <f t="shared" si="14"/>
        <v>0</v>
      </c>
      <c r="H279" s="177"/>
      <c r="I279" s="182"/>
      <c r="J279" s="276"/>
      <c r="K279" s="184"/>
    </row>
    <row r="280" spans="2:11" ht="15.6" hidden="1" x14ac:dyDescent="0.3">
      <c r="B280" s="510" t="s">
        <v>78</v>
      </c>
      <c r="C280" s="279"/>
      <c r="D280" s="180"/>
      <c r="E280" s="223"/>
      <c r="F280" s="180"/>
      <c r="G280" s="217">
        <f t="shared" si="14"/>
        <v>0</v>
      </c>
      <c r="H280" s="177"/>
      <c r="I280" s="182"/>
      <c r="J280" s="276"/>
      <c r="K280" s="184"/>
    </row>
    <row r="281" spans="2:11" ht="15.6" hidden="1" x14ac:dyDescent="0.3">
      <c r="B281" s="511"/>
      <c r="C281" s="279"/>
      <c r="D281" s="180"/>
      <c r="E281" s="223"/>
      <c r="F281" s="180"/>
      <c r="G281" s="217">
        <f t="shared" si="14"/>
        <v>0</v>
      </c>
      <c r="H281" s="177"/>
      <c r="I281" s="182"/>
      <c r="J281" s="276"/>
      <c r="K281" s="184"/>
    </row>
    <row r="282" spans="2:11" ht="15.6" hidden="1" x14ac:dyDescent="0.3">
      <c r="B282" s="511"/>
      <c r="C282" s="279"/>
      <c r="D282" s="180"/>
      <c r="E282" s="223"/>
      <c r="F282" s="180"/>
      <c r="G282" s="217">
        <f t="shared" si="14"/>
        <v>0</v>
      </c>
      <c r="H282" s="177"/>
      <c r="I282" s="182"/>
      <c r="J282" s="276"/>
      <c r="K282" s="184"/>
    </row>
    <row r="283" spans="2:11" ht="15.6" hidden="1" x14ac:dyDescent="0.3">
      <c r="B283" s="511"/>
      <c r="C283" s="279"/>
      <c r="D283" s="180"/>
      <c r="E283" s="223"/>
      <c r="F283" s="180"/>
      <c r="G283" s="217">
        <f t="shared" si="14"/>
        <v>0</v>
      </c>
      <c r="H283" s="177"/>
      <c r="I283" s="182"/>
      <c r="J283" s="276"/>
      <c r="K283" s="184"/>
    </row>
    <row r="284" spans="2:11" ht="15.6" hidden="1" x14ac:dyDescent="0.3">
      <c r="B284" s="512"/>
      <c r="C284" s="279"/>
      <c r="D284" s="180"/>
      <c r="E284" s="223"/>
      <c r="F284" s="180"/>
      <c r="G284" s="217">
        <f t="shared" si="14"/>
        <v>0</v>
      </c>
      <c r="H284" s="177"/>
      <c r="I284" s="182"/>
      <c r="J284" s="276"/>
      <c r="K284" s="184"/>
    </row>
    <row r="285" spans="2:11" ht="15.6" hidden="1" x14ac:dyDescent="0.3">
      <c r="B285" s="272"/>
      <c r="C285" s="79" t="s">
        <v>79</v>
      </c>
      <c r="D285" s="14">
        <f>SUM(D275:D284)</f>
        <v>0</v>
      </c>
      <c r="E285" s="322">
        <f>SUM(E275:E284)</f>
        <v>0</v>
      </c>
      <c r="F285" s="14">
        <f>SUM(F275:F284)</f>
        <v>0</v>
      </c>
      <c r="G285" s="11">
        <f>SUM(G275:G284)</f>
        <v>0</v>
      </c>
      <c r="H285" s="90">
        <f>(H275*G275)+(H276*G276)+(H277*G277)+(H278*G278)+(H279*G279)+(H280*G280)+(H281*G281)+(H282*G282)+(H283*G283)+(H284*G284)</f>
        <v>0</v>
      </c>
      <c r="I285" s="90">
        <f>SUM(I275:I284)</f>
        <v>0</v>
      </c>
      <c r="J285" s="278"/>
      <c r="K285" s="185"/>
    </row>
    <row r="286" spans="2:11" ht="15.6" x14ac:dyDescent="0.3">
      <c r="B286" s="272"/>
      <c r="C286" s="463"/>
      <c r="D286" s="464"/>
      <c r="E286" s="464"/>
      <c r="F286" s="464"/>
      <c r="G286" s="464"/>
      <c r="H286" s="464"/>
      <c r="I286" s="464"/>
      <c r="J286" s="465"/>
      <c r="K286" s="185"/>
    </row>
    <row r="287" spans="2:11" ht="35.4" customHeight="1" x14ac:dyDescent="0.3">
      <c r="B287" s="79" t="s">
        <v>80</v>
      </c>
      <c r="C287" s="443" t="s">
        <v>534</v>
      </c>
      <c r="D287" s="443"/>
      <c r="E287" s="443"/>
      <c r="F287" s="443"/>
      <c r="G287" s="443"/>
      <c r="H287" s="443"/>
      <c r="I287" s="444"/>
      <c r="J287" s="443"/>
      <c r="K287" s="396"/>
    </row>
    <row r="288" spans="2:11" ht="42.6" customHeight="1" x14ac:dyDescent="0.3">
      <c r="B288" s="260" t="s">
        <v>81</v>
      </c>
      <c r="C288" s="452" t="s">
        <v>601</v>
      </c>
      <c r="D288" s="452"/>
      <c r="E288" s="452"/>
      <c r="F288" s="452"/>
      <c r="G288" s="452"/>
      <c r="H288" s="452"/>
      <c r="I288" s="453"/>
      <c r="J288" s="452"/>
      <c r="K288" s="395"/>
    </row>
    <row r="289" spans="2:11" ht="18.600000000000001" customHeight="1" x14ac:dyDescent="0.3">
      <c r="B289" s="498" t="s">
        <v>602</v>
      </c>
      <c r="C289" s="265" t="s">
        <v>551</v>
      </c>
      <c r="D289" s="304">
        <v>18000</v>
      </c>
      <c r="E289" s="321"/>
      <c r="F289" s="257"/>
      <c r="G289" s="305">
        <f>D289+E289+F289</f>
        <v>18000</v>
      </c>
      <c r="H289" s="259">
        <v>0.3</v>
      </c>
      <c r="I289" s="261"/>
      <c r="J289" s="288"/>
      <c r="K289" s="184">
        <v>4</v>
      </c>
    </row>
    <row r="290" spans="2:11" ht="15.6" x14ac:dyDescent="0.3">
      <c r="B290" s="499"/>
      <c r="C290" s="265" t="s">
        <v>552</v>
      </c>
      <c r="D290" s="304">
        <v>15000</v>
      </c>
      <c r="E290" s="321"/>
      <c r="F290" s="257"/>
      <c r="G290" s="305">
        <f t="shared" ref="G290:G293" si="15">D290+E290+F290</f>
        <v>15000</v>
      </c>
      <c r="H290" s="259">
        <v>0.3</v>
      </c>
      <c r="I290" s="261"/>
      <c r="J290" s="288"/>
      <c r="K290" s="184">
        <v>4</v>
      </c>
    </row>
    <row r="291" spans="2:11" ht="15.6" x14ac:dyDescent="0.3">
      <c r="B291" s="499"/>
      <c r="C291" s="265" t="s">
        <v>565</v>
      </c>
      <c r="D291" s="304">
        <v>5000</v>
      </c>
      <c r="E291" s="321"/>
      <c r="F291" s="257"/>
      <c r="G291" s="305">
        <f t="shared" si="15"/>
        <v>5000</v>
      </c>
      <c r="H291" s="259">
        <v>0.3</v>
      </c>
      <c r="I291" s="261"/>
      <c r="J291" s="288"/>
      <c r="K291" s="184">
        <v>5</v>
      </c>
    </row>
    <row r="292" spans="2:11" ht="15.6" x14ac:dyDescent="0.3">
      <c r="B292" s="499"/>
      <c r="C292" s="265" t="s">
        <v>553</v>
      </c>
      <c r="D292" s="304">
        <v>10000</v>
      </c>
      <c r="E292" s="321"/>
      <c r="F292" s="257"/>
      <c r="G292" s="305">
        <f t="shared" si="15"/>
        <v>10000</v>
      </c>
      <c r="H292" s="259">
        <v>0.3</v>
      </c>
      <c r="I292" s="261"/>
      <c r="J292" s="288"/>
      <c r="K292" s="184">
        <v>4</v>
      </c>
    </row>
    <row r="293" spans="2:11" ht="15.6" x14ac:dyDescent="0.3">
      <c r="B293" s="520"/>
      <c r="C293" s="265"/>
      <c r="D293" s="304"/>
      <c r="E293" s="321"/>
      <c r="F293" s="257"/>
      <c r="G293" s="305">
        <f t="shared" si="15"/>
        <v>0</v>
      </c>
      <c r="H293" s="259"/>
      <c r="I293" s="261"/>
      <c r="J293" s="288"/>
      <c r="K293" s="184"/>
    </row>
    <row r="294" spans="2:11" ht="21" customHeight="1" x14ac:dyDescent="0.3">
      <c r="B294" s="498" t="s">
        <v>622</v>
      </c>
      <c r="C294" s="265" t="s">
        <v>551</v>
      </c>
      <c r="D294" s="304">
        <v>20000</v>
      </c>
      <c r="E294" s="321"/>
      <c r="F294" s="257"/>
      <c r="G294" s="305">
        <f t="shared" ref="G294:G303" si="16">D294+E294+F294</f>
        <v>20000</v>
      </c>
      <c r="H294" s="259">
        <v>0.5</v>
      </c>
      <c r="I294" s="261"/>
      <c r="J294" s="288"/>
      <c r="K294" s="184">
        <v>4</v>
      </c>
    </row>
    <row r="295" spans="2:11" ht="21" customHeight="1" x14ac:dyDescent="0.3">
      <c r="B295" s="499"/>
      <c r="C295" s="265" t="s">
        <v>571</v>
      </c>
      <c r="D295" s="304">
        <v>12000</v>
      </c>
      <c r="E295" s="321"/>
      <c r="F295" s="257"/>
      <c r="G295" s="305">
        <f t="shared" si="16"/>
        <v>12000</v>
      </c>
      <c r="H295" s="259">
        <v>0.5</v>
      </c>
      <c r="I295" s="261"/>
      <c r="J295" s="288"/>
      <c r="K295" s="184">
        <v>4</v>
      </c>
    </row>
    <row r="296" spans="2:11" ht="21" customHeight="1" x14ac:dyDescent="0.3">
      <c r="B296" s="499"/>
      <c r="C296" s="265" t="s">
        <v>572</v>
      </c>
      <c r="D296" s="304">
        <v>15000</v>
      </c>
      <c r="E296" s="321"/>
      <c r="F296" s="257"/>
      <c r="G296" s="305">
        <f t="shared" si="16"/>
        <v>15000</v>
      </c>
      <c r="H296" s="259">
        <v>0.5</v>
      </c>
      <c r="I296" s="261"/>
      <c r="J296" s="288"/>
      <c r="K296" s="184">
        <v>4</v>
      </c>
    </row>
    <row r="297" spans="2:11" ht="21" customHeight="1" x14ac:dyDescent="0.3">
      <c r="B297" s="499"/>
      <c r="C297" s="265" t="s">
        <v>573</v>
      </c>
      <c r="D297" s="304">
        <v>40000</v>
      </c>
      <c r="E297" s="321"/>
      <c r="F297" s="257"/>
      <c r="G297" s="305">
        <f t="shared" si="16"/>
        <v>40000</v>
      </c>
      <c r="H297" s="259">
        <v>0.5</v>
      </c>
      <c r="I297" s="261"/>
      <c r="J297" s="288"/>
      <c r="K297" s="184">
        <v>2</v>
      </c>
    </row>
    <row r="298" spans="2:11" ht="21" customHeight="1" x14ac:dyDescent="0.3">
      <c r="B298" s="520"/>
      <c r="C298" s="265"/>
      <c r="D298" s="304"/>
      <c r="E298" s="321"/>
      <c r="F298" s="257"/>
      <c r="G298" s="305">
        <f t="shared" si="16"/>
        <v>0</v>
      </c>
      <c r="H298" s="259"/>
      <c r="I298" s="261"/>
      <c r="J298" s="288"/>
      <c r="K298" s="184"/>
    </row>
    <row r="299" spans="2:11" ht="30.6" customHeight="1" x14ac:dyDescent="0.3">
      <c r="B299" s="521" t="s">
        <v>603</v>
      </c>
      <c r="C299" s="265" t="s">
        <v>555</v>
      </c>
      <c r="D299" s="304">
        <v>30000</v>
      </c>
      <c r="E299" s="321"/>
      <c r="F299" s="257"/>
      <c r="G299" s="305">
        <f t="shared" si="16"/>
        <v>30000</v>
      </c>
      <c r="H299" s="259">
        <v>0.5</v>
      </c>
      <c r="I299" s="261"/>
      <c r="J299" s="288"/>
      <c r="K299" s="184">
        <v>4</v>
      </c>
    </row>
    <row r="300" spans="2:11" ht="30.6" customHeight="1" x14ac:dyDescent="0.3">
      <c r="B300" s="521"/>
      <c r="C300" s="265" t="s">
        <v>554</v>
      </c>
      <c r="D300" s="304">
        <v>30000</v>
      </c>
      <c r="E300" s="321"/>
      <c r="F300" s="257"/>
      <c r="G300" s="305">
        <f t="shared" si="16"/>
        <v>30000</v>
      </c>
      <c r="H300" s="259">
        <v>0.5</v>
      </c>
      <c r="I300" s="261"/>
      <c r="J300" s="288"/>
      <c r="K300" s="184">
        <v>4</v>
      </c>
    </row>
    <row r="301" spans="2:11" ht="30.6" customHeight="1" x14ac:dyDescent="0.3">
      <c r="B301" s="521"/>
      <c r="C301" s="265" t="s">
        <v>565</v>
      </c>
      <c r="D301" s="304">
        <v>10000</v>
      </c>
      <c r="E301" s="321"/>
      <c r="F301" s="257"/>
      <c r="G301" s="305">
        <f t="shared" si="16"/>
        <v>10000</v>
      </c>
      <c r="H301" s="259">
        <v>0.5</v>
      </c>
      <c r="I301" s="261"/>
      <c r="J301" s="288"/>
      <c r="K301" s="184">
        <v>5</v>
      </c>
    </row>
    <row r="302" spans="2:11" ht="15.6" hidden="1" x14ac:dyDescent="0.3">
      <c r="B302" s="521"/>
      <c r="C302" s="265"/>
      <c r="D302" s="257"/>
      <c r="E302" s="323"/>
      <c r="F302" s="257"/>
      <c r="G302" s="258">
        <f t="shared" si="16"/>
        <v>0</v>
      </c>
      <c r="H302" s="259"/>
      <c r="I302" s="261"/>
      <c r="J302" s="288"/>
      <c r="K302" s="184"/>
    </row>
    <row r="303" spans="2:11" ht="15.6" hidden="1" x14ac:dyDescent="0.3">
      <c r="B303" s="521"/>
      <c r="C303" s="265"/>
      <c r="D303" s="257"/>
      <c r="E303" s="323"/>
      <c r="F303" s="257"/>
      <c r="G303" s="258">
        <f t="shared" si="16"/>
        <v>0</v>
      </c>
      <c r="H303" s="259"/>
      <c r="I303" s="261"/>
      <c r="J303" s="288"/>
      <c r="K303" s="184"/>
    </row>
    <row r="304" spans="2:11" ht="15.6" x14ac:dyDescent="0.3">
      <c r="B304" s="289"/>
      <c r="C304" s="262" t="s">
        <v>82</v>
      </c>
      <c r="D304" s="309">
        <f>SUM(D289:D303)</f>
        <v>205000</v>
      </c>
      <c r="E304" s="309">
        <f>SUM(E289:E303)</f>
        <v>0</v>
      </c>
      <c r="F304" s="309">
        <f>SUM(F289:F299)</f>
        <v>0</v>
      </c>
      <c r="G304" s="309">
        <f>SUM(G289:G303)</f>
        <v>205000</v>
      </c>
      <c r="H304" s="309">
        <f>(H289*G289)+(H290*G290)+(H291*G291)+(H292*G292)+(H293*G293)+(H294*G294)+(H295*G295)+(H296*G296)+(H297*G297)+(H298*G298)+(H299*G299)+(H300*G300)+(H301*G301)+(H302*G302)+(H303*G303)</f>
        <v>92900</v>
      </c>
      <c r="I304" s="309">
        <f>SUM(I289:I303)</f>
        <v>0</v>
      </c>
      <c r="J304" s="290"/>
      <c r="K304" s="394"/>
    </row>
    <row r="305" spans="2:11" ht="36.6" customHeight="1" x14ac:dyDescent="0.3">
      <c r="B305" s="260" t="s">
        <v>83</v>
      </c>
      <c r="C305" s="454" t="s">
        <v>604</v>
      </c>
      <c r="D305" s="455"/>
      <c r="E305" s="455"/>
      <c r="F305" s="455"/>
      <c r="G305" s="455"/>
      <c r="H305" s="455"/>
      <c r="I305" s="455"/>
      <c r="J305" s="456"/>
      <c r="K305" s="395"/>
    </row>
    <row r="306" spans="2:11" ht="48" customHeight="1" x14ac:dyDescent="0.3">
      <c r="B306" s="514" t="s">
        <v>618</v>
      </c>
      <c r="C306" s="285" t="s">
        <v>551</v>
      </c>
      <c r="D306" s="384"/>
      <c r="E306" s="385">
        <v>15000</v>
      </c>
      <c r="F306" s="257"/>
      <c r="G306" s="378">
        <f>D306+E306+F306</f>
        <v>15000</v>
      </c>
      <c r="H306" s="259">
        <v>0.5</v>
      </c>
      <c r="I306" s="261"/>
      <c r="J306" s="288"/>
      <c r="K306" s="184">
        <v>4</v>
      </c>
    </row>
    <row r="307" spans="2:11" ht="48" customHeight="1" x14ac:dyDescent="0.3">
      <c r="B307" s="515"/>
      <c r="C307" s="285" t="s">
        <v>574</v>
      </c>
      <c r="D307" s="384"/>
      <c r="E307" s="385">
        <v>25000</v>
      </c>
      <c r="F307" s="257"/>
      <c r="G307" s="378">
        <f t="shared" ref="G307:G308" si="17">D307+E307+F307</f>
        <v>25000</v>
      </c>
      <c r="H307" s="259">
        <v>0.5</v>
      </c>
      <c r="I307" s="261"/>
      <c r="J307" s="288"/>
      <c r="K307" s="184">
        <v>4</v>
      </c>
    </row>
    <row r="308" spans="2:11" ht="48" customHeight="1" x14ac:dyDescent="0.3">
      <c r="B308" s="515"/>
      <c r="C308" s="285" t="s">
        <v>575</v>
      </c>
      <c r="D308" s="384">
        <v>20000</v>
      </c>
      <c r="E308" s="385"/>
      <c r="F308" s="257"/>
      <c r="G308" s="378">
        <f t="shared" si="17"/>
        <v>20000</v>
      </c>
      <c r="H308" s="259">
        <v>0.5</v>
      </c>
      <c r="I308" s="261"/>
      <c r="J308" s="288"/>
      <c r="K308" s="184">
        <v>4</v>
      </c>
    </row>
    <row r="309" spans="2:11" ht="34.799999999999997" customHeight="1" x14ac:dyDescent="0.3">
      <c r="B309" s="514" t="s">
        <v>623</v>
      </c>
      <c r="C309" s="285" t="s">
        <v>551</v>
      </c>
      <c r="D309" s="304"/>
      <c r="E309" s="321">
        <v>2310</v>
      </c>
      <c r="F309" s="180"/>
      <c r="G309" s="305">
        <f t="shared" ref="G309:G317" si="18">D309+E309+F309</f>
        <v>2310</v>
      </c>
      <c r="H309" s="177">
        <v>0.5</v>
      </c>
      <c r="I309" s="182"/>
      <c r="J309" s="276"/>
      <c r="K309" s="184">
        <v>4</v>
      </c>
    </row>
    <row r="310" spans="2:11" ht="34.799999999999997" customHeight="1" x14ac:dyDescent="0.3">
      <c r="B310" s="515"/>
      <c r="C310" s="285" t="s">
        <v>577</v>
      </c>
      <c r="D310" s="304">
        <v>30000</v>
      </c>
      <c r="E310" s="321">
        <v>21700</v>
      </c>
      <c r="F310" s="180"/>
      <c r="G310" s="305">
        <f t="shared" si="18"/>
        <v>51700</v>
      </c>
      <c r="H310" s="177">
        <v>0.5</v>
      </c>
      <c r="I310" s="182"/>
      <c r="J310" s="276"/>
      <c r="K310" s="184">
        <v>4</v>
      </c>
    </row>
    <row r="311" spans="2:11" ht="34.799999999999997" customHeight="1" x14ac:dyDescent="0.3">
      <c r="B311" s="515"/>
      <c r="C311" s="285" t="s">
        <v>565</v>
      </c>
      <c r="D311" s="304">
        <v>4000</v>
      </c>
      <c r="E311" s="321">
        <v>6000</v>
      </c>
      <c r="F311" s="180"/>
      <c r="G311" s="305">
        <f t="shared" si="18"/>
        <v>10000</v>
      </c>
      <c r="H311" s="177">
        <v>0.5</v>
      </c>
      <c r="I311" s="182"/>
      <c r="J311" s="276"/>
      <c r="K311" s="184">
        <v>5</v>
      </c>
    </row>
    <row r="312" spans="2:11" ht="34.799999999999997" customHeight="1" x14ac:dyDescent="0.3">
      <c r="B312" s="519"/>
      <c r="C312" s="285" t="s">
        <v>65</v>
      </c>
      <c r="D312" s="304"/>
      <c r="E312" s="321">
        <v>1000</v>
      </c>
      <c r="F312" s="180"/>
      <c r="G312" s="305">
        <f t="shared" si="18"/>
        <v>1000</v>
      </c>
      <c r="H312" s="177">
        <v>0.5</v>
      </c>
      <c r="I312" s="182"/>
      <c r="J312" s="276"/>
      <c r="K312" s="184">
        <v>2</v>
      </c>
    </row>
    <row r="313" spans="2:11" ht="24" customHeight="1" x14ac:dyDescent="0.3">
      <c r="B313" s="516" t="s">
        <v>605</v>
      </c>
      <c r="C313" s="285" t="s">
        <v>551</v>
      </c>
      <c r="D313" s="304"/>
      <c r="E313" s="321">
        <v>3700</v>
      </c>
      <c r="F313" s="180"/>
      <c r="G313" s="305">
        <f t="shared" si="18"/>
        <v>3700</v>
      </c>
      <c r="H313" s="177">
        <v>0.5</v>
      </c>
      <c r="I313" s="182"/>
      <c r="J313" s="276"/>
      <c r="K313" s="184">
        <v>4</v>
      </c>
    </row>
    <row r="314" spans="2:11" ht="24" customHeight="1" x14ac:dyDescent="0.3">
      <c r="B314" s="517"/>
      <c r="C314" s="282" t="s">
        <v>578</v>
      </c>
      <c r="D314" s="304">
        <v>50000</v>
      </c>
      <c r="E314" s="321"/>
      <c r="F314" s="180"/>
      <c r="G314" s="305">
        <f t="shared" si="18"/>
        <v>50000</v>
      </c>
      <c r="H314" s="177">
        <v>0.5</v>
      </c>
      <c r="I314" s="182"/>
      <c r="J314" s="276"/>
      <c r="K314" s="184">
        <v>4</v>
      </c>
    </row>
    <row r="315" spans="2:11" ht="24" customHeight="1" x14ac:dyDescent="0.3">
      <c r="B315" s="517"/>
      <c r="C315" s="282" t="s">
        <v>565</v>
      </c>
      <c r="D315" s="304">
        <v>8000</v>
      </c>
      <c r="E315" s="321">
        <v>12000</v>
      </c>
      <c r="F315" s="180"/>
      <c r="G315" s="305">
        <f t="shared" si="18"/>
        <v>20000</v>
      </c>
      <c r="H315" s="177">
        <v>0.5</v>
      </c>
      <c r="I315" s="182"/>
      <c r="J315" s="276"/>
      <c r="K315" s="184">
        <v>5</v>
      </c>
    </row>
    <row r="316" spans="2:11" ht="24" customHeight="1" x14ac:dyDescent="0.3">
      <c r="B316" s="517"/>
      <c r="C316" s="280" t="s">
        <v>583</v>
      </c>
      <c r="D316" s="304"/>
      <c r="E316" s="321">
        <v>30000</v>
      </c>
      <c r="F316" s="180"/>
      <c r="G316" s="305">
        <f t="shared" si="18"/>
        <v>30000</v>
      </c>
      <c r="H316" s="177">
        <v>0.5</v>
      </c>
      <c r="I316" s="182"/>
      <c r="J316" s="276"/>
      <c r="K316" s="184">
        <v>4</v>
      </c>
    </row>
    <row r="317" spans="2:11" ht="24" customHeight="1" x14ac:dyDescent="0.3">
      <c r="B317" s="518"/>
      <c r="C317" s="282" t="s">
        <v>65</v>
      </c>
      <c r="D317" s="304"/>
      <c r="E317" s="321">
        <v>1850</v>
      </c>
      <c r="F317" s="272"/>
      <c r="G317" s="305">
        <f t="shared" si="18"/>
        <v>1850</v>
      </c>
      <c r="H317" s="177">
        <v>0.5</v>
      </c>
      <c r="I317" s="182"/>
      <c r="J317" s="276"/>
      <c r="K317" s="184">
        <v>2</v>
      </c>
    </row>
    <row r="318" spans="2:11" ht="22.2" customHeight="1" x14ac:dyDescent="0.3">
      <c r="B318" s="514" t="s">
        <v>606</v>
      </c>
      <c r="C318" s="285" t="s">
        <v>551</v>
      </c>
      <c r="D318" s="304"/>
      <c r="E318" s="321">
        <v>3700</v>
      </c>
      <c r="F318" s="257"/>
      <c r="G318" s="305">
        <f>D318+E318+F318</f>
        <v>3700</v>
      </c>
      <c r="H318" s="259">
        <v>0.5</v>
      </c>
      <c r="I318" s="182"/>
      <c r="J318" s="276"/>
      <c r="K318" s="184">
        <v>4</v>
      </c>
    </row>
    <row r="319" spans="2:11" ht="22.2" customHeight="1" x14ac:dyDescent="0.3">
      <c r="B319" s="515"/>
      <c r="C319" s="282" t="s">
        <v>579</v>
      </c>
      <c r="D319" s="304">
        <v>30000</v>
      </c>
      <c r="E319" s="321"/>
      <c r="F319" s="257"/>
      <c r="G319" s="305">
        <f t="shared" ref="G319:G321" si="19">D319+E319+F319</f>
        <v>30000</v>
      </c>
      <c r="H319" s="259">
        <v>0.5</v>
      </c>
      <c r="I319" s="182"/>
      <c r="J319" s="276"/>
      <c r="K319" s="184">
        <v>4</v>
      </c>
    </row>
    <row r="320" spans="2:11" ht="22.2" customHeight="1" x14ac:dyDescent="0.3">
      <c r="B320" s="515"/>
      <c r="C320" s="282" t="s">
        <v>565</v>
      </c>
      <c r="D320" s="304">
        <v>8000</v>
      </c>
      <c r="E320" s="321">
        <v>12000</v>
      </c>
      <c r="F320" s="257"/>
      <c r="G320" s="305">
        <f t="shared" si="19"/>
        <v>20000</v>
      </c>
      <c r="H320" s="259">
        <v>0.5</v>
      </c>
      <c r="I320" s="182"/>
      <c r="J320" s="276"/>
      <c r="K320" s="184">
        <v>5</v>
      </c>
    </row>
    <row r="321" spans="2:11" ht="22.2" customHeight="1" x14ac:dyDescent="0.3">
      <c r="B321" s="515"/>
      <c r="C321" s="282" t="s">
        <v>584</v>
      </c>
      <c r="D321" s="304"/>
      <c r="E321" s="321">
        <v>30000</v>
      </c>
      <c r="F321" s="257"/>
      <c r="G321" s="305">
        <f t="shared" si="19"/>
        <v>30000</v>
      </c>
      <c r="H321" s="259">
        <v>0.5</v>
      </c>
      <c r="I321" s="182"/>
      <c r="J321" s="276"/>
      <c r="K321" s="184">
        <v>4</v>
      </c>
    </row>
    <row r="322" spans="2:11" ht="22.2" customHeight="1" x14ac:dyDescent="0.3">
      <c r="B322" s="519"/>
      <c r="C322" s="285" t="s">
        <v>65</v>
      </c>
      <c r="D322" s="304"/>
      <c r="E322" s="321">
        <v>1860</v>
      </c>
      <c r="F322" s="257"/>
      <c r="G322" s="305">
        <f>D322+E322+F322</f>
        <v>1860</v>
      </c>
      <c r="H322" s="259">
        <v>0.5</v>
      </c>
      <c r="I322" s="182"/>
      <c r="J322" s="276"/>
      <c r="K322" s="184">
        <v>2</v>
      </c>
    </row>
    <row r="323" spans="2:11" ht="15.6" x14ac:dyDescent="0.3">
      <c r="B323" s="272"/>
      <c r="C323" s="79" t="s">
        <v>84</v>
      </c>
      <c r="D323" s="309">
        <f>SUM(D306:D322)</f>
        <v>150000</v>
      </c>
      <c r="E323" s="309">
        <f>SUM(E306:E322)</f>
        <v>166120</v>
      </c>
      <c r="F323" s="309">
        <f>SUM(F306:F322)</f>
        <v>0</v>
      </c>
      <c r="G323" s="309">
        <f>SUM(G306:G322)</f>
        <v>316120</v>
      </c>
      <c r="H323" s="309">
        <f>(H306*G306)+(H307*G307)+(H308*G308)+(H309*G309)+(H310*G310)+(H311*G311)+(H312*G312)+(H313*G313)+(H314*G314)+(H315*G315)+(H316*G316)+(H317*G317)+(H318*G318)+(H319*G319)+(H320*G320)+(H321*G321)+(H322*G322)</f>
        <v>158060</v>
      </c>
      <c r="I323" s="309">
        <f>SUM(I306:I322)</f>
        <v>0</v>
      </c>
      <c r="J323" s="278"/>
      <c r="K323" s="394"/>
    </row>
    <row r="324" spans="2:11" ht="15.6" hidden="1" x14ac:dyDescent="0.3">
      <c r="B324" s="79" t="s">
        <v>17</v>
      </c>
      <c r="C324" s="457"/>
      <c r="D324" s="457"/>
      <c r="E324" s="457"/>
      <c r="F324" s="457"/>
      <c r="G324" s="457"/>
      <c r="H324" s="457"/>
      <c r="I324" s="458"/>
      <c r="J324" s="457"/>
      <c r="K324" s="186"/>
    </row>
    <row r="325" spans="2:11" ht="15.6" hidden="1" x14ac:dyDescent="0.3">
      <c r="B325" s="510" t="s">
        <v>85</v>
      </c>
      <c r="C325" s="279"/>
      <c r="D325" s="180"/>
      <c r="E325" s="223"/>
      <c r="F325" s="180"/>
      <c r="G325" s="217">
        <f>D325+E325+F325</f>
        <v>0</v>
      </c>
      <c r="H325" s="177"/>
      <c r="I325" s="182"/>
      <c r="J325" s="276"/>
      <c r="K325" s="184"/>
    </row>
    <row r="326" spans="2:11" ht="15.6" hidden="1" x14ac:dyDescent="0.3">
      <c r="B326" s="511"/>
      <c r="C326" s="279"/>
      <c r="D326" s="180"/>
      <c r="E326" s="223"/>
      <c r="F326" s="180"/>
      <c r="G326" s="217">
        <f t="shared" ref="G326:G334" si="20">D326+E326+F326</f>
        <v>0</v>
      </c>
      <c r="H326" s="177"/>
      <c r="I326" s="182"/>
      <c r="J326" s="276"/>
      <c r="K326" s="184"/>
    </row>
    <row r="327" spans="2:11" ht="15.6" hidden="1" x14ac:dyDescent="0.3">
      <c r="B327" s="511"/>
      <c r="C327" s="279"/>
      <c r="D327" s="180"/>
      <c r="E327" s="223"/>
      <c r="F327" s="180"/>
      <c r="G327" s="217">
        <f t="shared" si="20"/>
        <v>0</v>
      </c>
      <c r="H327" s="177"/>
      <c r="I327" s="182"/>
      <c r="J327" s="276"/>
      <c r="K327" s="184"/>
    </row>
    <row r="328" spans="2:11" ht="15.6" hidden="1" x14ac:dyDescent="0.3">
      <c r="B328" s="511"/>
      <c r="C328" s="279"/>
      <c r="D328" s="180"/>
      <c r="E328" s="223"/>
      <c r="F328" s="180"/>
      <c r="G328" s="217">
        <f t="shared" si="20"/>
        <v>0</v>
      </c>
      <c r="H328" s="177"/>
      <c r="I328" s="182"/>
      <c r="J328" s="276"/>
      <c r="K328" s="184"/>
    </row>
    <row r="329" spans="2:11" ht="15.6" hidden="1" x14ac:dyDescent="0.3">
      <c r="B329" s="512"/>
      <c r="C329" s="279"/>
      <c r="D329" s="180"/>
      <c r="E329" s="223"/>
      <c r="F329" s="180"/>
      <c r="G329" s="217">
        <f t="shared" si="20"/>
        <v>0</v>
      </c>
      <c r="H329" s="177"/>
      <c r="I329" s="182"/>
      <c r="J329" s="276"/>
      <c r="K329" s="184"/>
    </row>
    <row r="330" spans="2:11" ht="15.6" hidden="1" x14ac:dyDescent="0.3">
      <c r="B330" s="510" t="s">
        <v>86</v>
      </c>
      <c r="C330" s="279"/>
      <c r="D330" s="180"/>
      <c r="E330" s="223"/>
      <c r="F330" s="180"/>
      <c r="G330" s="217">
        <f t="shared" si="20"/>
        <v>0</v>
      </c>
      <c r="H330" s="177"/>
      <c r="I330" s="182"/>
      <c r="J330" s="276"/>
      <c r="K330" s="184"/>
    </row>
    <row r="331" spans="2:11" ht="15.6" hidden="1" x14ac:dyDescent="0.3">
      <c r="B331" s="511"/>
      <c r="C331" s="279"/>
      <c r="D331" s="180"/>
      <c r="E331" s="223"/>
      <c r="F331" s="180"/>
      <c r="G331" s="217">
        <f t="shared" si="20"/>
        <v>0</v>
      </c>
      <c r="H331" s="177"/>
      <c r="I331" s="182"/>
      <c r="J331" s="276"/>
      <c r="K331" s="184"/>
    </row>
    <row r="332" spans="2:11" ht="15.6" hidden="1" x14ac:dyDescent="0.3">
      <c r="B332" s="511"/>
      <c r="C332" s="279"/>
      <c r="D332" s="180"/>
      <c r="E332" s="223"/>
      <c r="F332" s="180"/>
      <c r="G332" s="217">
        <f t="shared" si="20"/>
        <v>0</v>
      </c>
      <c r="H332" s="177"/>
      <c r="I332" s="182"/>
      <c r="J332" s="276"/>
      <c r="K332" s="184"/>
    </row>
    <row r="333" spans="2:11" ht="15.6" hidden="1" x14ac:dyDescent="0.3">
      <c r="B333" s="511"/>
      <c r="C333" s="279"/>
      <c r="D333" s="180"/>
      <c r="E333" s="223"/>
      <c r="F333" s="180"/>
      <c r="G333" s="217">
        <f t="shared" si="20"/>
        <v>0</v>
      </c>
      <c r="H333" s="177"/>
      <c r="I333" s="182"/>
      <c r="J333" s="276"/>
      <c r="K333" s="184"/>
    </row>
    <row r="334" spans="2:11" ht="15.6" hidden="1" x14ac:dyDescent="0.3">
      <c r="B334" s="512"/>
      <c r="C334" s="279"/>
      <c r="D334" s="180"/>
      <c r="E334" s="223"/>
      <c r="F334" s="180"/>
      <c r="G334" s="217">
        <f t="shared" si="20"/>
        <v>0</v>
      </c>
      <c r="H334" s="177"/>
      <c r="I334" s="182"/>
      <c r="J334" s="276"/>
      <c r="K334" s="184"/>
    </row>
    <row r="335" spans="2:11" ht="15.6" hidden="1" x14ac:dyDescent="0.3">
      <c r="B335" s="272"/>
      <c r="C335" s="79" t="s">
        <v>87</v>
      </c>
      <c r="D335" s="11">
        <f>SUM(D325:D334)</f>
        <v>0</v>
      </c>
      <c r="E335" s="324">
        <f>SUM(E325:E334)</f>
        <v>0</v>
      </c>
      <c r="F335" s="11">
        <f>SUM(F325:F334)</f>
        <v>0</v>
      </c>
      <c r="G335" s="11">
        <f>SUM(G325:G334)</f>
        <v>0</v>
      </c>
      <c r="H335" s="90">
        <f>(H325*G325)+(H326*G326)+(H327*G327)+(H328*G328)+(H329*G329)+(H330*G330)+(H331*G331)+(H332*G332)+(H333*G333)+(H334*G334)</f>
        <v>0</v>
      </c>
      <c r="I335" s="90">
        <f>SUM(I325:I334)</f>
        <v>0</v>
      </c>
      <c r="J335" s="278"/>
      <c r="K335" s="185"/>
    </row>
    <row r="336" spans="2:11" ht="15.75" customHeight="1" x14ac:dyDescent="0.3">
      <c r="B336" s="5"/>
      <c r="C336" s="221"/>
      <c r="D336" s="224"/>
      <c r="E336" s="224"/>
      <c r="F336" s="224"/>
      <c r="G336" s="224"/>
      <c r="H336" s="224"/>
      <c r="I336" s="224"/>
      <c r="J336" s="225"/>
      <c r="K336" s="189"/>
    </row>
    <row r="337" spans="2:13" ht="34.200000000000003" hidden="1" customHeight="1" x14ac:dyDescent="0.3">
      <c r="B337" s="79" t="s">
        <v>88</v>
      </c>
      <c r="C337" s="443"/>
      <c r="D337" s="443"/>
      <c r="E337" s="443"/>
      <c r="F337" s="443"/>
      <c r="G337" s="443"/>
      <c r="H337" s="443"/>
      <c r="I337" s="444"/>
      <c r="J337" s="443"/>
      <c r="K337" s="188"/>
    </row>
    <row r="338" spans="2:13" ht="29.4" hidden="1" customHeight="1" x14ac:dyDescent="0.3">
      <c r="B338" s="78" t="s">
        <v>18</v>
      </c>
      <c r="C338" s="445"/>
      <c r="D338" s="445"/>
      <c r="E338" s="445"/>
      <c r="F338" s="445"/>
      <c r="G338" s="445"/>
      <c r="H338" s="445"/>
      <c r="I338" s="446"/>
      <c r="J338" s="445"/>
      <c r="K338" s="186"/>
    </row>
    <row r="339" spans="2:13" ht="33" hidden="1" customHeight="1" x14ac:dyDescent="0.3">
      <c r="B339" s="510"/>
      <c r="C339" s="279"/>
      <c r="D339" s="180"/>
      <c r="E339" s="223"/>
      <c r="F339" s="180"/>
      <c r="G339" s="217">
        <f>D339+E339+F339</f>
        <v>0</v>
      </c>
      <c r="H339" s="177"/>
      <c r="I339" s="182"/>
      <c r="J339" s="276"/>
      <c r="K339" s="184"/>
    </row>
    <row r="340" spans="2:13" ht="15.6" hidden="1" x14ac:dyDescent="0.3">
      <c r="B340" s="511"/>
      <c r="C340" s="279"/>
      <c r="D340" s="180"/>
      <c r="E340" s="223"/>
      <c r="F340" s="180"/>
      <c r="G340" s="217">
        <f t="shared" ref="G340:G354" si="21">D340+E340+F340</f>
        <v>0</v>
      </c>
      <c r="H340" s="177"/>
      <c r="I340" s="182"/>
      <c r="J340" s="276"/>
      <c r="K340" s="184"/>
      <c r="M340" s="179"/>
    </row>
    <row r="341" spans="2:13" ht="15.6" hidden="1" x14ac:dyDescent="0.3">
      <c r="B341" s="511"/>
      <c r="C341" s="279"/>
      <c r="D341" s="180"/>
      <c r="E341" s="223"/>
      <c r="F341" s="180"/>
      <c r="G341" s="217">
        <f t="shared" si="21"/>
        <v>0</v>
      </c>
      <c r="H341" s="177"/>
      <c r="I341" s="182"/>
      <c r="J341" s="276"/>
      <c r="K341" s="184"/>
      <c r="M341" s="179"/>
    </row>
    <row r="342" spans="2:13" ht="15.6" hidden="1" x14ac:dyDescent="0.3">
      <c r="B342" s="511"/>
      <c r="C342" s="279"/>
      <c r="D342" s="180"/>
      <c r="E342" s="223"/>
      <c r="F342" s="180"/>
      <c r="G342" s="217">
        <f t="shared" si="21"/>
        <v>0</v>
      </c>
      <c r="H342" s="177"/>
      <c r="I342" s="182"/>
      <c r="J342" s="276"/>
      <c r="K342" s="184"/>
    </row>
    <row r="343" spans="2:13" ht="15.6" hidden="1" x14ac:dyDescent="0.3">
      <c r="B343" s="512"/>
      <c r="C343" s="279"/>
      <c r="D343" s="180"/>
      <c r="E343" s="223"/>
      <c r="F343" s="180"/>
      <c r="G343" s="217">
        <f t="shared" si="21"/>
        <v>0</v>
      </c>
      <c r="H343" s="177"/>
      <c r="I343" s="182"/>
      <c r="J343" s="276"/>
      <c r="K343" s="184"/>
    </row>
    <row r="344" spans="2:13" ht="15.6" hidden="1" x14ac:dyDescent="0.3">
      <c r="B344" s="510"/>
      <c r="C344" s="279"/>
      <c r="D344" s="180"/>
      <c r="E344" s="223"/>
      <c r="F344" s="180"/>
      <c r="G344" s="217">
        <f t="shared" si="21"/>
        <v>0</v>
      </c>
      <c r="H344" s="177"/>
      <c r="I344" s="182"/>
      <c r="J344" s="276"/>
      <c r="K344" s="184"/>
    </row>
    <row r="345" spans="2:13" ht="33" hidden="1" customHeight="1" x14ac:dyDescent="0.3">
      <c r="B345" s="511"/>
      <c r="C345" s="279"/>
      <c r="D345" s="180"/>
      <c r="E345" s="223"/>
      <c r="F345" s="180"/>
      <c r="G345" s="217">
        <f t="shared" si="21"/>
        <v>0</v>
      </c>
      <c r="H345" s="177"/>
      <c r="I345" s="182"/>
      <c r="J345" s="276"/>
      <c r="K345" s="184"/>
      <c r="M345" s="179"/>
    </row>
    <row r="346" spans="2:13" ht="15.6" hidden="1" x14ac:dyDescent="0.3">
      <c r="B346" s="511"/>
      <c r="C346" s="279"/>
      <c r="D346" s="180"/>
      <c r="E346" s="223"/>
      <c r="F346" s="180"/>
      <c r="G346" s="217">
        <f t="shared" si="21"/>
        <v>0</v>
      </c>
      <c r="H346" s="177"/>
      <c r="I346" s="182"/>
      <c r="J346" s="276"/>
      <c r="K346" s="184"/>
    </row>
    <row r="347" spans="2:13" ht="15.6" hidden="1" x14ac:dyDescent="0.3">
      <c r="B347" s="511"/>
      <c r="C347" s="279"/>
      <c r="D347" s="180"/>
      <c r="E347" s="223"/>
      <c r="F347" s="180"/>
      <c r="G347" s="217">
        <f t="shared" si="21"/>
        <v>0</v>
      </c>
      <c r="H347" s="177"/>
      <c r="I347" s="182"/>
      <c r="J347" s="276"/>
      <c r="K347" s="184"/>
    </row>
    <row r="348" spans="2:13" ht="15.6" hidden="1" x14ac:dyDescent="0.3">
      <c r="B348" s="512"/>
      <c r="C348" s="279"/>
      <c r="D348" s="180"/>
      <c r="E348" s="223"/>
      <c r="F348" s="180"/>
      <c r="G348" s="217">
        <f t="shared" si="21"/>
        <v>0</v>
      </c>
      <c r="H348" s="177"/>
      <c r="I348" s="182"/>
      <c r="J348" s="276"/>
      <c r="K348" s="184"/>
    </row>
    <row r="349" spans="2:13" ht="15.6" hidden="1" x14ac:dyDescent="0.3">
      <c r="B349" s="510"/>
      <c r="C349" s="279"/>
      <c r="D349" s="180"/>
      <c r="E349" s="223"/>
      <c r="F349" s="180"/>
      <c r="G349" s="217">
        <f t="shared" si="21"/>
        <v>0</v>
      </c>
      <c r="H349" s="177"/>
      <c r="I349" s="182"/>
      <c r="J349" s="276"/>
      <c r="K349" s="184"/>
    </row>
    <row r="350" spans="2:13" ht="15.6" hidden="1" x14ac:dyDescent="0.3">
      <c r="B350" s="511"/>
      <c r="C350" s="279"/>
      <c r="D350" s="180"/>
      <c r="E350" s="223"/>
      <c r="F350" s="180"/>
      <c r="G350" s="217">
        <f t="shared" si="21"/>
        <v>0</v>
      </c>
      <c r="H350" s="177"/>
      <c r="I350" s="182"/>
      <c r="J350" s="276"/>
      <c r="K350" s="184"/>
    </row>
    <row r="351" spans="2:13" ht="15.6" hidden="1" x14ac:dyDescent="0.3">
      <c r="B351" s="511"/>
      <c r="C351" s="279"/>
      <c r="D351" s="180"/>
      <c r="E351" s="223"/>
      <c r="F351" s="180"/>
      <c r="G351" s="217">
        <f t="shared" si="21"/>
        <v>0</v>
      </c>
      <c r="H351" s="177"/>
      <c r="I351" s="182"/>
      <c r="J351" s="276"/>
      <c r="K351" s="184"/>
      <c r="M351" s="179"/>
    </row>
    <row r="352" spans="2:13" ht="15.6" hidden="1" x14ac:dyDescent="0.3">
      <c r="B352" s="511"/>
      <c r="C352" s="279"/>
      <c r="D352" s="180"/>
      <c r="E352" s="223"/>
      <c r="F352" s="180"/>
      <c r="G352" s="217">
        <f t="shared" si="21"/>
        <v>0</v>
      </c>
      <c r="H352" s="177"/>
      <c r="I352" s="182"/>
      <c r="J352" s="276"/>
      <c r="K352" s="184"/>
      <c r="M352" s="179"/>
    </row>
    <row r="353" spans="2:13" ht="15.6" hidden="1" x14ac:dyDescent="0.3">
      <c r="B353" s="512"/>
      <c r="C353" s="279"/>
      <c r="D353" s="180"/>
      <c r="E353" s="223"/>
      <c r="F353" s="180"/>
      <c r="G353" s="217">
        <f t="shared" si="21"/>
        <v>0</v>
      </c>
      <c r="H353" s="177"/>
      <c r="I353" s="182"/>
      <c r="J353" s="276"/>
      <c r="K353" s="184"/>
    </row>
    <row r="354" spans="2:13" ht="15.6" hidden="1" x14ac:dyDescent="0.3">
      <c r="B354" s="510" t="s">
        <v>89</v>
      </c>
      <c r="C354" s="279"/>
      <c r="D354" s="180"/>
      <c r="E354" s="223"/>
      <c r="F354" s="180"/>
      <c r="G354" s="217">
        <f t="shared" si="21"/>
        <v>0</v>
      </c>
      <c r="H354" s="177"/>
      <c r="I354" s="182"/>
      <c r="J354" s="276"/>
      <c r="K354" s="184"/>
    </row>
    <row r="355" spans="2:13" ht="15.6" hidden="1" x14ac:dyDescent="0.3">
      <c r="B355" s="511"/>
      <c r="C355" s="279"/>
      <c r="D355" s="180"/>
      <c r="E355" s="223"/>
      <c r="F355" s="180"/>
      <c r="G355" s="217">
        <f t="shared" ref="G355:G363" si="22">D355+E355+F355</f>
        <v>0</v>
      </c>
      <c r="H355" s="177"/>
      <c r="I355" s="182"/>
      <c r="J355" s="276"/>
      <c r="K355" s="184"/>
    </row>
    <row r="356" spans="2:13" ht="15.6" hidden="1" x14ac:dyDescent="0.3">
      <c r="B356" s="511"/>
      <c r="C356" s="279"/>
      <c r="D356" s="180"/>
      <c r="E356" s="223"/>
      <c r="F356" s="180"/>
      <c r="G356" s="217">
        <f t="shared" si="22"/>
        <v>0</v>
      </c>
      <c r="H356" s="177"/>
      <c r="I356" s="182"/>
      <c r="J356" s="276"/>
      <c r="K356" s="184"/>
    </row>
    <row r="357" spans="2:13" ht="15.6" hidden="1" x14ac:dyDescent="0.3">
      <c r="B357" s="511"/>
      <c r="C357" s="279"/>
      <c r="D357" s="180"/>
      <c r="E357" s="223"/>
      <c r="F357" s="180"/>
      <c r="G357" s="217">
        <f t="shared" si="22"/>
        <v>0</v>
      </c>
      <c r="H357" s="177"/>
      <c r="I357" s="182"/>
      <c r="J357" s="276"/>
      <c r="K357" s="184"/>
    </row>
    <row r="358" spans="2:13" ht="15.6" hidden="1" x14ac:dyDescent="0.3">
      <c r="B358" s="512"/>
      <c r="C358" s="279"/>
      <c r="D358" s="180"/>
      <c r="E358" s="223"/>
      <c r="F358" s="180"/>
      <c r="G358" s="217">
        <f t="shared" si="22"/>
        <v>0</v>
      </c>
      <c r="H358" s="177"/>
      <c r="I358" s="182"/>
      <c r="J358" s="276"/>
      <c r="K358" s="184"/>
    </row>
    <row r="359" spans="2:13" ht="15.6" hidden="1" x14ac:dyDescent="0.3">
      <c r="B359" s="510" t="s">
        <v>90</v>
      </c>
      <c r="C359" s="279"/>
      <c r="D359" s="180"/>
      <c r="E359" s="223"/>
      <c r="F359" s="180"/>
      <c r="G359" s="217">
        <f t="shared" si="22"/>
        <v>0</v>
      </c>
      <c r="H359" s="177"/>
      <c r="I359" s="182"/>
      <c r="J359" s="276"/>
      <c r="K359" s="184"/>
    </row>
    <row r="360" spans="2:13" ht="15.6" hidden="1" x14ac:dyDescent="0.3">
      <c r="B360" s="511"/>
      <c r="C360" s="279"/>
      <c r="D360" s="180"/>
      <c r="E360" s="223"/>
      <c r="F360" s="180"/>
      <c r="G360" s="217">
        <f t="shared" si="22"/>
        <v>0</v>
      </c>
      <c r="H360" s="177"/>
      <c r="I360" s="182"/>
      <c r="J360" s="276"/>
      <c r="K360" s="184"/>
    </row>
    <row r="361" spans="2:13" ht="15.6" hidden="1" x14ac:dyDescent="0.3">
      <c r="B361" s="511"/>
      <c r="C361" s="279"/>
      <c r="D361" s="180"/>
      <c r="E361" s="223"/>
      <c r="F361" s="180"/>
      <c r="G361" s="217">
        <f t="shared" si="22"/>
        <v>0</v>
      </c>
      <c r="H361" s="177"/>
      <c r="I361" s="182"/>
      <c r="J361" s="276"/>
      <c r="K361" s="184"/>
    </row>
    <row r="362" spans="2:13" ht="15.6" hidden="1" x14ac:dyDescent="0.3">
      <c r="B362" s="511"/>
      <c r="C362" s="269"/>
      <c r="D362" s="223"/>
      <c r="E362" s="223"/>
      <c r="F362" s="223"/>
      <c r="G362" s="217">
        <f t="shared" si="22"/>
        <v>0</v>
      </c>
      <c r="H362" s="219"/>
      <c r="I362" s="220"/>
      <c r="J362" s="278"/>
      <c r="K362" s="184"/>
    </row>
    <row r="363" spans="2:13" ht="15.6" hidden="1" x14ac:dyDescent="0.3">
      <c r="B363" s="512"/>
      <c r="C363" s="269"/>
      <c r="D363" s="223"/>
      <c r="E363" s="223"/>
      <c r="F363" s="223"/>
      <c r="G363" s="217">
        <f t="shared" si="22"/>
        <v>0</v>
      </c>
      <c r="H363" s="219"/>
      <c r="I363" s="220"/>
      <c r="J363" s="278"/>
      <c r="K363" s="184"/>
    </row>
    <row r="364" spans="2:13" ht="15.6" hidden="1" x14ac:dyDescent="0.3">
      <c r="B364" s="272"/>
      <c r="C364" s="79" t="s">
        <v>91</v>
      </c>
      <c r="D364" s="11">
        <f>SUM(D339:D363)</f>
        <v>0</v>
      </c>
      <c r="E364" s="324">
        <f t="shared" ref="E364:F364" si="23">SUM(E339:E363)</f>
        <v>0</v>
      </c>
      <c r="F364" s="11">
        <f t="shared" si="23"/>
        <v>0</v>
      </c>
      <c r="G364" s="11">
        <f>SUM(G339:G363)</f>
        <v>0</v>
      </c>
      <c r="H364" s="90">
        <f>(H339*G339)+(H340*G340)+(H341*G341)+(H342*G342)+(H343*G343)+(H344*G344)+(H345*G345)+(H346*G346)+(H347*G347)+(H348*G348)+(H349*G349)+(H350*G350)+(H351*G351)+(H352*G352)+(H353*G353)+(H354*G354)+(H355*G355)+(H356*G356)+(H357*G357)+(H358*G358)+(H359*G359)+(H360*G360)+(H361*G361)+(H362*G362)+(H363*G363)</f>
        <v>0</v>
      </c>
      <c r="I364" s="90">
        <f>SUM(I339:I363)</f>
        <v>0</v>
      </c>
      <c r="J364" s="278"/>
      <c r="K364" s="185"/>
    </row>
    <row r="365" spans="2:13" ht="36" hidden="1" customHeight="1" x14ac:dyDescent="0.3">
      <c r="B365" s="78" t="s">
        <v>19</v>
      </c>
      <c r="C365" s="445"/>
      <c r="D365" s="445"/>
      <c r="E365" s="445"/>
      <c r="F365" s="445"/>
      <c r="G365" s="445"/>
      <c r="H365" s="445"/>
      <c r="I365" s="446"/>
      <c r="J365" s="445"/>
      <c r="K365" s="186"/>
    </row>
    <row r="366" spans="2:13" ht="15.6" hidden="1" x14ac:dyDescent="0.3">
      <c r="B366" s="510"/>
      <c r="C366" s="279"/>
      <c r="D366" s="180"/>
      <c r="E366" s="223"/>
      <c r="F366" s="180"/>
      <c r="G366" s="217">
        <f>D366+E366+F366</f>
        <v>0</v>
      </c>
      <c r="H366" s="177"/>
      <c r="I366" s="182"/>
      <c r="J366" s="276"/>
      <c r="K366" s="184"/>
    </row>
    <row r="367" spans="2:13" ht="15.6" hidden="1" x14ac:dyDescent="0.3">
      <c r="B367" s="511"/>
      <c r="C367" s="279"/>
      <c r="D367" s="180"/>
      <c r="E367" s="223"/>
      <c r="F367" s="180"/>
      <c r="G367" s="217">
        <f t="shared" ref="G367:G385" si="24">D367+E367+F367</f>
        <v>0</v>
      </c>
      <c r="H367" s="177"/>
      <c r="I367" s="182"/>
      <c r="J367" s="276"/>
      <c r="K367" s="184"/>
      <c r="M367" s="179"/>
    </row>
    <row r="368" spans="2:13" ht="15.6" hidden="1" x14ac:dyDescent="0.3">
      <c r="B368" s="511"/>
      <c r="C368" s="279"/>
      <c r="D368" s="180"/>
      <c r="E368" s="223"/>
      <c r="F368" s="180"/>
      <c r="G368" s="217">
        <f t="shared" si="24"/>
        <v>0</v>
      </c>
      <c r="H368" s="177"/>
      <c r="I368" s="182"/>
      <c r="J368" s="276"/>
      <c r="K368" s="184"/>
      <c r="M368" s="179"/>
    </row>
    <row r="369" spans="2:13" ht="15.6" hidden="1" x14ac:dyDescent="0.3">
      <c r="B369" s="511"/>
      <c r="C369" s="279"/>
      <c r="D369" s="180"/>
      <c r="E369" s="223"/>
      <c r="F369" s="180"/>
      <c r="G369" s="217">
        <f t="shared" si="24"/>
        <v>0</v>
      </c>
      <c r="H369" s="177"/>
      <c r="I369" s="182"/>
      <c r="J369" s="276"/>
      <c r="K369" s="184"/>
    </row>
    <row r="370" spans="2:13" ht="15.6" hidden="1" x14ac:dyDescent="0.3">
      <c r="B370" s="512"/>
      <c r="C370" s="279"/>
      <c r="D370" s="180"/>
      <c r="E370" s="223"/>
      <c r="F370" s="180"/>
      <c r="G370" s="217">
        <f t="shared" si="24"/>
        <v>0</v>
      </c>
      <c r="H370" s="177"/>
      <c r="I370" s="182"/>
      <c r="J370" s="276"/>
      <c r="K370" s="184"/>
    </row>
    <row r="371" spans="2:13" ht="15.6" hidden="1" x14ac:dyDescent="0.3">
      <c r="B371" s="510"/>
      <c r="C371" s="279"/>
      <c r="D371" s="180"/>
      <c r="E371" s="223"/>
      <c r="F371" s="180"/>
      <c r="G371" s="217">
        <f t="shared" si="24"/>
        <v>0</v>
      </c>
      <c r="H371" s="177"/>
      <c r="I371" s="182"/>
      <c r="J371" s="276"/>
      <c r="K371" s="184"/>
    </row>
    <row r="372" spans="2:13" ht="15.6" hidden="1" x14ac:dyDescent="0.3">
      <c r="B372" s="511"/>
      <c r="C372" s="279"/>
      <c r="D372" s="180"/>
      <c r="E372" s="223"/>
      <c r="F372" s="180"/>
      <c r="G372" s="217">
        <f t="shared" si="24"/>
        <v>0</v>
      </c>
      <c r="H372" s="177"/>
      <c r="I372" s="182"/>
      <c r="J372" s="276"/>
      <c r="K372" s="184"/>
      <c r="M372" s="179"/>
    </row>
    <row r="373" spans="2:13" ht="15.6" hidden="1" x14ac:dyDescent="0.3">
      <c r="B373" s="511"/>
      <c r="C373" s="279"/>
      <c r="D373" s="180"/>
      <c r="E373" s="223"/>
      <c r="F373" s="180"/>
      <c r="G373" s="217">
        <f t="shared" si="24"/>
        <v>0</v>
      </c>
      <c r="H373" s="177"/>
      <c r="I373" s="182"/>
      <c r="J373" s="276"/>
      <c r="K373" s="184"/>
    </row>
    <row r="374" spans="2:13" ht="15.6" hidden="1" x14ac:dyDescent="0.3">
      <c r="B374" s="511"/>
      <c r="C374" s="279"/>
      <c r="D374" s="180"/>
      <c r="E374" s="223"/>
      <c r="F374" s="180"/>
      <c r="G374" s="217">
        <f t="shared" si="24"/>
        <v>0</v>
      </c>
      <c r="H374" s="177"/>
      <c r="I374" s="182"/>
      <c r="J374" s="276"/>
      <c r="K374" s="184"/>
    </row>
    <row r="375" spans="2:13" ht="15.6" hidden="1" x14ac:dyDescent="0.3">
      <c r="B375" s="512"/>
      <c r="C375" s="279"/>
      <c r="D375" s="180"/>
      <c r="E375" s="223"/>
      <c r="F375" s="180"/>
      <c r="G375" s="217">
        <f t="shared" si="24"/>
        <v>0</v>
      </c>
      <c r="H375" s="177"/>
      <c r="I375" s="182"/>
      <c r="J375" s="276"/>
      <c r="K375" s="184"/>
    </row>
    <row r="376" spans="2:13" ht="15.6" hidden="1" x14ac:dyDescent="0.3">
      <c r="B376" s="510"/>
      <c r="C376" s="279"/>
      <c r="D376" s="180"/>
      <c r="E376" s="223"/>
      <c r="F376" s="180"/>
      <c r="G376" s="217">
        <f t="shared" si="24"/>
        <v>0</v>
      </c>
      <c r="H376" s="177"/>
      <c r="I376" s="182"/>
      <c r="J376" s="276"/>
      <c r="K376" s="184"/>
    </row>
    <row r="377" spans="2:13" ht="15.6" hidden="1" x14ac:dyDescent="0.3">
      <c r="B377" s="511"/>
      <c r="C377" s="279"/>
      <c r="D377" s="180"/>
      <c r="E377" s="223"/>
      <c r="F377" s="180"/>
      <c r="G377" s="217">
        <f t="shared" si="24"/>
        <v>0</v>
      </c>
      <c r="H377" s="177"/>
      <c r="I377" s="182"/>
      <c r="J377" s="276"/>
      <c r="K377" s="184"/>
      <c r="M377" s="179"/>
    </row>
    <row r="378" spans="2:13" ht="15.6" hidden="1" x14ac:dyDescent="0.3">
      <c r="B378" s="511"/>
      <c r="C378" s="279"/>
      <c r="D378" s="180"/>
      <c r="E378" s="223"/>
      <c r="F378" s="180"/>
      <c r="G378" s="217">
        <f t="shared" si="24"/>
        <v>0</v>
      </c>
      <c r="H378" s="177"/>
      <c r="I378" s="182"/>
      <c r="J378" s="276"/>
      <c r="K378" s="184"/>
      <c r="M378" s="179"/>
    </row>
    <row r="379" spans="2:13" ht="15.6" hidden="1" x14ac:dyDescent="0.3">
      <c r="B379" s="511"/>
      <c r="C379" s="279"/>
      <c r="D379" s="180"/>
      <c r="E379" s="223"/>
      <c r="F379" s="180"/>
      <c r="G379" s="217">
        <f t="shared" si="24"/>
        <v>0</v>
      </c>
      <c r="H379" s="177"/>
      <c r="I379" s="182"/>
      <c r="J379" s="276"/>
      <c r="K379" s="184"/>
    </row>
    <row r="380" spans="2:13" ht="15.6" hidden="1" x14ac:dyDescent="0.3">
      <c r="B380" s="512"/>
      <c r="C380" s="279"/>
      <c r="D380" s="180"/>
      <c r="E380" s="223"/>
      <c r="F380" s="180"/>
      <c r="G380" s="217">
        <f t="shared" si="24"/>
        <v>0</v>
      </c>
      <c r="H380" s="177"/>
      <c r="I380" s="182"/>
      <c r="J380" s="276"/>
      <c r="K380" s="184"/>
    </row>
    <row r="381" spans="2:13" ht="15.6" hidden="1" x14ac:dyDescent="0.3">
      <c r="B381" s="510"/>
      <c r="C381" s="279"/>
      <c r="D381" s="180"/>
      <c r="E381" s="223"/>
      <c r="F381" s="180"/>
      <c r="G381" s="217">
        <f t="shared" si="24"/>
        <v>0</v>
      </c>
      <c r="H381" s="177"/>
      <c r="I381" s="182"/>
      <c r="J381" s="276"/>
      <c r="K381" s="184"/>
      <c r="M381" s="179"/>
    </row>
    <row r="382" spans="2:13" ht="15.6" hidden="1" x14ac:dyDescent="0.3">
      <c r="B382" s="511"/>
      <c r="C382" s="279"/>
      <c r="D382" s="180"/>
      <c r="E382" s="223"/>
      <c r="F382" s="180"/>
      <c r="G382" s="217">
        <f t="shared" si="24"/>
        <v>0</v>
      </c>
      <c r="H382" s="177"/>
      <c r="I382" s="182"/>
      <c r="J382" s="276"/>
      <c r="K382" s="184"/>
      <c r="M382" s="179"/>
    </row>
    <row r="383" spans="2:13" ht="15.6" hidden="1" x14ac:dyDescent="0.3">
      <c r="B383" s="511"/>
      <c r="C383" s="279"/>
      <c r="D383" s="180"/>
      <c r="E383" s="223"/>
      <c r="F383" s="180"/>
      <c r="G383" s="217">
        <f t="shared" si="24"/>
        <v>0</v>
      </c>
      <c r="H383" s="177"/>
      <c r="I383" s="182"/>
      <c r="J383" s="276"/>
      <c r="K383" s="184"/>
    </row>
    <row r="384" spans="2:13" ht="15.6" hidden="1" x14ac:dyDescent="0.3">
      <c r="B384" s="511"/>
      <c r="C384" s="279"/>
      <c r="D384" s="180"/>
      <c r="E384" s="223"/>
      <c r="F384" s="180"/>
      <c r="G384" s="217">
        <f t="shared" si="24"/>
        <v>0</v>
      </c>
      <c r="H384" s="177"/>
      <c r="I384" s="182"/>
      <c r="J384" s="276"/>
      <c r="K384" s="184"/>
    </row>
    <row r="385" spans="2:13" ht="15.6" hidden="1" x14ac:dyDescent="0.3">
      <c r="B385" s="512"/>
      <c r="C385" s="279"/>
      <c r="D385" s="180"/>
      <c r="E385" s="223"/>
      <c r="F385" s="180"/>
      <c r="G385" s="217">
        <f t="shared" si="24"/>
        <v>0</v>
      </c>
      <c r="H385" s="177"/>
      <c r="I385" s="182"/>
      <c r="J385" s="276"/>
      <c r="K385" s="184"/>
    </row>
    <row r="386" spans="2:13" ht="15.6" hidden="1" x14ac:dyDescent="0.3">
      <c r="B386" s="510" t="s">
        <v>92</v>
      </c>
      <c r="C386" s="279"/>
      <c r="D386" s="180"/>
      <c r="E386" s="223"/>
      <c r="F386" s="180"/>
      <c r="G386" s="217">
        <f t="shared" ref="G386:G390" si="25">D386+E386+F386</f>
        <v>0</v>
      </c>
      <c r="H386" s="177"/>
      <c r="I386" s="182"/>
      <c r="J386" s="276"/>
      <c r="K386" s="184"/>
    </row>
    <row r="387" spans="2:13" ht="15.6" hidden="1" x14ac:dyDescent="0.3">
      <c r="B387" s="511"/>
      <c r="C387" s="279"/>
      <c r="D387" s="180"/>
      <c r="E387" s="223"/>
      <c r="F387" s="180"/>
      <c r="G387" s="217">
        <f t="shared" si="25"/>
        <v>0</v>
      </c>
      <c r="H387" s="177"/>
      <c r="I387" s="182"/>
      <c r="J387" s="276"/>
      <c r="K387" s="184"/>
    </row>
    <row r="388" spans="2:13" ht="15.6" hidden="1" x14ac:dyDescent="0.3">
      <c r="B388" s="511"/>
      <c r="C388" s="279"/>
      <c r="D388" s="180"/>
      <c r="E388" s="223"/>
      <c r="F388" s="180"/>
      <c r="G388" s="217">
        <f t="shared" si="25"/>
        <v>0</v>
      </c>
      <c r="H388" s="177"/>
      <c r="I388" s="182"/>
      <c r="J388" s="276"/>
      <c r="K388" s="184"/>
    </row>
    <row r="389" spans="2:13" ht="15.6" hidden="1" x14ac:dyDescent="0.3">
      <c r="B389" s="511"/>
      <c r="C389" s="269"/>
      <c r="D389" s="223"/>
      <c r="E389" s="223"/>
      <c r="F389" s="223"/>
      <c r="G389" s="217">
        <f t="shared" si="25"/>
        <v>0</v>
      </c>
      <c r="H389" s="219"/>
      <c r="I389" s="220"/>
      <c r="J389" s="278"/>
      <c r="K389" s="184"/>
    </row>
    <row r="390" spans="2:13" ht="15.6" hidden="1" x14ac:dyDescent="0.3">
      <c r="B390" s="512"/>
      <c r="C390" s="269"/>
      <c r="D390" s="223"/>
      <c r="E390" s="223"/>
      <c r="F390" s="223"/>
      <c r="G390" s="217">
        <f t="shared" si="25"/>
        <v>0</v>
      </c>
      <c r="H390" s="219"/>
      <c r="I390" s="220"/>
      <c r="J390" s="278"/>
      <c r="K390" s="184"/>
    </row>
    <row r="391" spans="2:13" ht="15.6" hidden="1" x14ac:dyDescent="0.3">
      <c r="B391" s="272"/>
      <c r="C391" s="79" t="s">
        <v>93</v>
      </c>
      <c r="D391" s="14">
        <f>SUM(D366:D390)</f>
        <v>0</v>
      </c>
      <c r="E391" s="322">
        <f>SUM(E366:E390)</f>
        <v>0</v>
      </c>
      <c r="F391" s="14">
        <f>SUM(F366:F390)</f>
        <v>0</v>
      </c>
      <c r="G391" s="11">
        <f>SUM(G366:G390)</f>
        <v>0</v>
      </c>
      <c r="H391" s="90">
        <f>(H366*G366)+(H367*G367)+(H368*G368)+(H369*G369)+(H370*G370)+(H371*G371)+(H372*G372)+(H373*G373)+(H374*G374)+(H375*G375)+(H376*G376)+(H377*G377)+(H378*G378)+(H379*G379)+(H380*G380)+(H381*G381)+(H382*G382)+(H383*G383)+(H384*G384)+(H385*G385)+(H386*G386)+(H387*G387)+(H388*G388)+(H389*G389)+(H390*G390)</f>
        <v>0</v>
      </c>
      <c r="I391" s="90">
        <f>SUM(I366:I390)</f>
        <v>0</v>
      </c>
      <c r="J391" s="278"/>
      <c r="K391" s="185"/>
    </row>
    <row r="392" spans="2:13" ht="34.200000000000003" hidden="1" customHeight="1" x14ac:dyDescent="0.3">
      <c r="B392" s="78" t="s">
        <v>20</v>
      </c>
      <c r="C392" s="445"/>
      <c r="D392" s="445"/>
      <c r="E392" s="445"/>
      <c r="F392" s="445"/>
      <c r="G392" s="445"/>
      <c r="H392" s="445"/>
      <c r="I392" s="446"/>
      <c r="J392" s="445"/>
      <c r="K392" s="186"/>
    </row>
    <row r="393" spans="2:13" ht="15.6" hidden="1" x14ac:dyDescent="0.3">
      <c r="B393" s="510"/>
      <c r="C393" s="279"/>
      <c r="D393" s="180"/>
      <c r="E393" s="223"/>
      <c r="F393" s="180"/>
      <c r="G393" s="217">
        <f>D393+E393+F393</f>
        <v>0</v>
      </c>
      <c r="H393" s="177"/>
      <c r="I393" s="182"/>
      <c r="J393" s="276"/>
      <c r="K393" s="184"/>
    </row>
    <row r="394" spans="2:13" ht="15.6" hidden="1" x14ac:dyDescent="0.3">
      <c r="B394" s="511"/>
      <c r="C394" s="279"/>
      <c r="D394" s="180"/>
      <c r="E394" s="223"/>
      <c r="F394" s="180"/>
      <c r="G394" s="217">
        <f t="shared" ref="G394:G416" si="26">D394+E394+F394</f>
        <v>0</v>
      </c>
      <c r="H394" s="177"/>
      <c r="I394" s="182"/>
      <c r="J394" s="276"/>
      <c r="K394" s="184"/>
      <c r="M394" s="179"/>
    </row>
    <row r="395" spans="2:13" ht="15.6" hidden="1" x14ac:dyDescent="0.3">
      <c r="B395" s="511"/>
      <c r="C395" s="176"/>
      <c r="D395" s="180"/>
      <c r="E395" s="223"/>
      <c r="F395" s="180"/>
      <c r="G395" s="217">
        <f t="shared" si="26"/>
        <v>0</v>
      </c>
      <c r="H395" s="177"/>
      <c r="I395" s="182"/>
      <c r="J395" s="276"/>
      <c r="K395" s="184"/>
      <c r="M395" s="179"/>
    </row>
    <row r="396" spans="2:13" ht="15.6" hidden="1" x14ac:dyDescent="0.3">
      <c r="B396" s="511"/>
      <c r="C396" s="180"/>
      <c r="D396" s="180"/>
      <c r="E396" s="223"/>
      <c r="F396" s="180"/>
      <c r="G396" s="217">
        <f t="shared" si="26"/>
        <v>0</v>
      </c>
      <c r="H396" s="177"/>
      <c r="I396" s="182"/>
      <c r="J396" s="276"/>
      <c r="K396" s="184"/>
    </row>
    <row r="397" spans="2:13" ht="15.6" hidden="1" x14ac:dyDescent="0.3">
      <c r="B397" s="511"/>
      <c r="C397" s="279"/>
      <c r="D397" s="180"/>
      <c r="E397" s="223"/>
      <c r="F397" s="180"/>
      <c r="G397" s="217">
        <f t="shared" si="26"/>
        <v>0</v>
      </c>
      <c r="H397" s="177"/>
      <c r="I397" s="182"/>
      <c r="J397" s="276"/>
      <c r="K397" s="184"/>
    </row>
    <row r="398" spans="2:13" ht="19.95" hidden="1" customHeight="1" x14ac:dyDescent="0.3">
      <c r="B398" s="512"/>
      <c r="C398" s="279"/>
      <c r="D398" s="180"/>
      <c r="E398" s="223"/>
      <c r="F398" s="180"/>
      <c r="G398" s="217">
        <f t="shared" si="26"/>
        <v>0</v>
      </c>
      <c r="H398" s="177"/>
      <c r="I398" s="182"/>
      <c r="J398" s="276"/>
      <c r="K398" s="184"/>
    </row>
    <row r="399" spans="2:13" ht="35.4" hidden="1" customHeight="1" x14ac:dyDescent="0.3">
      <c r="B399" s="510"/>
      <c r="C399" s="279"/>
      <c r="D399" s="180"/>
      <c r="E399" s="223"/>
      <c r="F399" s="180"/>
      <c r="G399" s="217">
        <f t="shared" si="26"/>
        <v>0</v>
      </c>
      <c r="H399" s="177"/>
      <c r="I399" s="182"/>
      <c r="J399" s="276"/>
      <c r="K399" s="184"/>
      <c r="M399" s="179"/>
    </row>
    <row r="400" spans="2:13" ht="35.4" hidden="1" customHeight="1" x14ac:dyDescent="0.3">
      <c r="B400" s="511"/>
      <c r="C400" s="279"/>
      <c r="D400" s="180"/>
      <c r="E400" s="223"/>
      <c r="F400" s="180"/>
      <c r="G400" s="217">
        <f t="shared" si="26"/>
        <v>0</v>
      </c>
      <c r="H400" s="177"/>
      <c r="I400" s="182"/>
      <c r="J400" s="276"/>
      <c r="K400" s="184"/>
      <c r="M400" s="179"/>
    </row>
    <row r="401" spans="2:13" ht="35.4" hidden="1" customHeight="1" x14ac:dyDescent="0.3">
      <c r="B401" s="511"/>
      <c r="C401" s="279"/>
      <c r="D401" s="180"/>
      <c r="E401" s="223"/>
      <c r="F401" s="180"/>
      <c r="G401" s="217">
        <f t="shared" si="26"/>
        <v>0</v>
      </c>
      <c r="H401" s="177"/>
      <c r="I401" s="182"/>
      <c r="J401" s="276"/>
      <c r="K401" s="184"/>
    </row>
    <row r="402" spans="2:13" ht="35.4" hidden="1" customHeight="1" x14ac:dyDescent="0.3">
      <c r="B402" s="511"/>
      <c r="C402" s="279"/>
      <c r="D402" s="180"/>
      <c r="E402" s="223"/>
      <c r="F402" s="180"/>
      <c r="G402" s="217">
        <f t="shared" si="26"/>
        <v>0</v>
      </c>
      <c r="H402" s="177"/>
      <c r="I402" s="182"/>
      <c r="J402" s="276"/>
      <c r="K402" s="184"/>
    </row>
    <row r="403" spans="2:13" ht="35.4" hidden="1" customHeight="1" x14ac:dyDescent="0.3">
      <c r="B403" s="512"/>
      <c r="C403" s="279"/>
      <c r="D403" s="180"/>
      <c r="E403" s="223"/>
      <c r="F403" s="180"/>
      <c r="G403" s="217">
        <f t="shared" si="26"/>
        <v>0</v>
      </c>
      <c r="H403" s="177"/>
      <c r="I403" s="182"/>
      <c r="J403" s="276"/>
      <c r="K403" s="184"/>
    </row>
    <row r="404" spans="2:13" ht="15.6" hidden="1" x14ac:dyDescent="0.3">
      <c r="B404" s="510"/>
      <c r="C404" s="279"/>
      <c r="D404" s="180"/>
      <c r="E404" s="223"/>
      <c r="F404" s="180"/>
      <c r="G404" s="217">
        <f t="shared" si="26"/>
        <v>0</v>
      </c>
      <c r="H404" s="177"/>
      <c r="I404" s="182"/>
      <c r="J404" s="276"/>
      <c r="K404" s="184"/>
    </row>
    <row r="405" spans="2:13" ht="15.6" hidden="1" x14ac:dyDescent="0.3">
      <c r="B405" s="511"/>
      <c r="C405" s="279"/>
      <c r="D405" s="180"/>
      <c r="E405" s="223"/>
      <c r="F405" s="180"/>
      <c r="G405" s="217">
        <f t="shared" si="26"/>
        <v>0</v>
      </c>
      <c r="H405" s="177"/>
      <c r="I405" s="182"/>
      <c r="J405" s="276"/>
      <c r="K405" s="184"/>
      <c r="M405" s="179"/>
    </row>
    <row r="406" spans="2:13" ht="15.6" hidden="1" x14ac:dyDescent="0.3">
      <c r="B406" s="511"/>
      <c r="C406" s="279"/>
      <c r="D406" s="180"/>
      <c r="E406" s="223"/>
      <c r="F406" s="180"/>
      <c r="G406" s="217">
        <f t="shared" si="26"/>
        <v>0</v>
      </c>
      <c r="H406" s="177"/>
      <c r="I406" s="182"/>
      <c r="J406" s="276"/>
      <c r="K406" s="184"/>
      <c r="M406" s="179"/>
    </row>
    <row r="407" spans="2:13" ht="15.6" hidden="1" x14ac:dyDescent="0.3">
      <c r="B407" s="511"/>
      <c r="C407" s="279"/>
      <c r="D407" s="180"/>
      <c r="E407" s="223"/>
      <c r="F407" s="180"/>
      <c r="G407" s="217">
        <f t="shared" si="26"/>
        <v>0</v>
      </c>
      <c r="H407" s="177"/>
      <c r="I407" s="182"/>
      <c r="J407" s="276"/>
      <c r="K407" s="184"/>
    </row>
    <row r="408" spans="2:13" ht="15.6" hidden="1" x14ac:dyDescent="0.3">
      <c r="B408" s="512"/>
      <c r="C408" s="279"/>
      <c r="D408" s="180"/>
      <c r="E408" s="223"/>
      <c r="F408" s="180"/>
      <c r="G408" s="217">
        <f t="shared" si="26"/>
        <v>0</v>
      </c>
      <c r="H408" s="177"/>
      <c r="I408" s="182"/>
      <c r="J408" s="276"/>
      <c r="K408" s="184"/>
    </row>
    <row r="409" spans="2:13" ht="15.6" hidden="1" x14ac:dyDescent="0.3">
      <c r="B409" s="510"/>
      <c r="C409" s="279"/>
      <c r="D409" s="180"/>
      <c r="E409" s="223"/>
      <c r="F409" s="180"/>
      <c r="G409" s="217">
        <f t="shared" si="26"/>
        <v>0</v>
      </c>
      <c r="H409" s="177"/>
      <c r="I409" s="182"/>
      <c r="J409" s="276"/>
      <c r="K409" s="184"/>
      <c r="M409" s="179"/>
    </row>
    <row r="410" spans="2:13" ht="15.6" hidden="1" x14ac:dyDescent="0.3">
      <c r="B410" s="511"/>
      <c r="C410" s="279"/>
      <c r="D410" s="180"/>
      <c r="E410" s="223"/>
      <c r="F410" s="180"/>
      <c r="G410" s="217">
        <f t="shared" si="26"/>
        <v>0</v>
      </c>
      <c r="H410" s="177"/>
      <c r="I410" s="182"/>
      <c r="J410" s="276"/>
      <c r="K410" s="184"/>
      <c r="M410" s="179"/>
    </row>
    <row r="411" spans="2:13" ht="15.6" hidden="1" x14ac:dyDescent="0.3">
      <c r="B411" s="511"/>
      <c r="C411" s="279"/>
      <c r="D411" s="180"/>
      <c r="E411" s="223"/>
      <c r="F411" s="180"/>
      <c r="G411" s="217">
        <f t="shared" si="26"/>
        <v>0</v>
      </c>
      <c r="H411" s="177"/>
      <c r="I411" s="182"/>
      <c r="J411" s="276"/>
      <c r="K411" s="184"/>
    </row>
    <row r="412" spans="2:13" ht="15.6" hidden="1" x14ac:dyDescent="0.3">
      <c r="B412" s="511"/>
      <c r="C412" s="279"/>
      <c r="D412" s="180"/>
      <c r="E412" s="223"/>
      <c r="F412" s="180"/>
      <c r="G412" s="217">
        <f t="shared" si="26"/>
        <v>0</v>
      </c>
      <c r="H412" s="177"/>
      <c r="I412" s="182"/>
      <c r="J412" s="276"/>
      <c r="K412" s="184"/>
    </row>
    <row r="413" spans="2:13" ht="15.6" hidden="1" x14ac:dyDescent="0.3">
      <c r="B413" s="512"/>
      <c r="C413" s="279"/>
      <c r="D413" s="180"/>
      <c r="E413" s="223"/>
      <c r="F413" s="180"/>
      <c r="G413" s="217">
        <f t="shared" si="26"/>
        <v>0</v>
      </c>
      <c r="H413" s="177"/>
      <c r="I413" s="182"/>
      <c r="J413" s="276"/>
      <c r="K413" s="184"/>
    </row>
    <row r="414" spans="2:13" ht="15.6" hidden="1" x14ac:dyDescent="0.3">
      <c r="B414" s="510" t="s">
        <v>94</v>
      </c>
      <c r="C414" s="279"/>
      <c r="D414" s="180"/>
      <c r="E414" s="223"/>
      <c r="F414" s="180"/>
      <c r="G414" s="217">
        <f t="shared" si="26"/>
        <v>0</v>
      </c>
      <c r="H414" s="177"/>
      <c r="I414" s="182"/>
      <c r="J414" s="276"/>
      <c r="K414" s="184"/>
    </row>
    <row r="415" spans="2:13" ht="15.6" hidden="1" x14ac:dyDescent="0.3">
      <c r="B415" s="511"/>
      <c r="C415" s="279"/>
      <c r="D415" s="180"/>
      <c r="E415" s="223"/>
      <c r="F415" s="180"/>
      <c r="G415" s="217">
        <f t="shared" si="26"/>
        <v>0</v>
      </c>
      <c r="H415" s="177"/>
      <c r="I415" s="182"/>
      <c r="J415" s="276"/>
      <c r="K415" s="184"/>
    </row>
    <row r="416" spans="2:13" ht="15.6" hidden="1" x14ac:dyDescent="0.3">
      <c r="B416" s="511"/>
      <c r="C416" s="279"/>
      <c r="D416" s="180"/>
      <c r="E416" s="223"/>
      <c r="F416" s="180"/>
      <c r="G416" s="217">
        <f t="shared" si="26"/>
        <v>0</v>
      </c>
      <c r="H416" s="177"/>
      <c r="I416" s="182"/>
      <c r="J416" s="276"/>
      <c r="K416" s="184"/>
    </row>
    <row r="417" spans="2:11" ht="15.6" hidden="1" x14ac:dyDescent="0.3">
      <c r="B417" s="511"/>
      <c r="C417" s="269"/>
      <c r="D417" s="223"/>
      <c r="E417" s="223"/>
      <c r="F417" s="223"/>
      <c r="G417" s="217">
        <f t="shared" ref="G417:G418" si="27">D417+E417+F417</f>
        <v>0</v>
      </c>
      <c r="H417" s="219"/>
      <c r="I417" s="220"/>
      <c r="J417" s="278"/>
      <c r="K417" s="184"/>
    </row>
    <row r="418" spans="2:11" ht="15.6" hidden="1" x14ac:dyDescent="0.3">
      <c r="B418" s="512"/>
      <c r="C418" s="269"/>
      <c r="D418" s="223"/>
      <c r="E418" s="223"/>
      <c r="F418" s="223"/>
      <c r="G418" s="217">
        <f t="shared" si="27"/>
        <v>0</v>
      </c>
      <c r="H418" s="219"/>
      <c r="I418" s="220"/>
      <c r="J418" s="278"/>
      <c r="K418" s="184"/>
    </row>
    <row r="419" spans="2:11" ht="15.6" hidden="1" x14ac:dyDescent="0.3">
      <c r="B419" s="272"/>
      <c r="C419" s="79" t="s">
        <v>95</v>
      </c>
      <c r="D419" s="14">
        <f>SUM(D393:D418)</f>
        <v>0</v>
      </c>
      <c r="E419" s="322">
        <f t="shared" ref="E419:F419" si="28">SUM(E393:E418)</f>
        <v>0</v>
      </c>
      <c r="F419" s="14">
        <f t="shared" si="28"/>
        <v>0</v>
      </c>
      <c r="G419" s="11">
        <f>SUM(G393:G418)</f>
        <v>0</v>
      </c>
      <c r="H419" s="90">
        <f>(H393*G393)+(H394*G394)+(H395*G395)+(H396*G396)+(H397*G397)+(H398*G398)+(H399*G399)+(H400*G400)+(H401*G401)+(H402*G402)+(H403*G403)+(H404*G404)+(H405*G405)+(H406*G406)+(H407*G407)+(H408*G408)+(H409*G409)+(H410*G410)+(H411*G411)+(H412*G412)+(H413*G413)+(H414*G414)+(H415*G415)+(H416*G416)+(H417*G417)+(H418*G418)</f>
        <v>0</v>
      </c>
      <c r="I419" s="90">
        <f>SUM(I393:I418)</f>
        <v>0</v>
      </c>
      <c r="J419" s="278"/>
      <c r="K419" s="185"/>
    </row>
    <row r="420" spans="2:11" ht="34.200000000000003" hidden="1" customHeight="1" x14ac:dyDescent="0.3">
      <c r="B420" s="78" t="s">
        <v>96</v>
      </c>
      <c r="C420" s="445"/>
      <c r="D420" s="445"/>
      <c r="E420" s="445"/>
      <c r="F420" s="445"/>
      <c r="G420" s="445"/>
      <c r="H420" s="445"/>
      <c r="I420" s="446"/>
      <c r="J420" s="445"/>
      <c r="K420" s="186"/>
    </row>
    <row r="421" spans="2:11" ht="15.6" hidden="1" x14ac:dyDescent="0.3">
      <c r="B421" s="510" t="s">
        <v>97</v>
      </c>
      <c r="C421" s="279"/>
      <c r="D421" s="180"/>
      <c r="E421" s="223"/>
      <c r="F421" s="180"/>
      <c r="G421" s="217">
        <f>D421+E421+F421</f>
        <v>0</v>
      </c>
      <c r="H421" s="177"/>
      <c r="I421" s="182"/>
      <c r="J421" s="276"/>
      <c r="K421" s="184"/>
    </row>
    <row r="422" spans="2:11" ht="15.6" hidden="1" x14ac:dyDescent="0.3">
      <c r="B422" s="511"/>
      <c r="C422" s="279"/>
      <c r="D422" s="180"/>
      <c r="E422" s="223"/>
      <c r="F422" s="180"/>
      <c r="G422" s="217">
        <f t="shared" ref="G422:G430" si="29">D422+E422+F422</f>
        <v>0</v>
      </c>
      <c r="H422" s="177"/>
      <c r="I422" s="182"/>
      <c r="J422" s="276"/>
      <c r="K422" s="184"/>
    </row>
    <row r="423" spans="2:11" ht="15.6" hidden="1" x14ac:dyDescent="0.3">
      <c r="B423" s="511"/>
      <c r="C423" s="279"/>
      <c r="D423" s="180"/>
      <c r="E423" s="223"/>
      <c r="F423" s="180"/>
      <c r="G423" s="217">
        <f t="shared" si="29"/>
        <v>0</v>
      </c>
      <c r="H423" s="177"/>
      <c r="I423" s="182"/>
      <c r="J423" s="276"/>
      <c r="K423" s="184"/>
    </row>
    <row r="424" spans="2:11" ht="15.6" hidden="1" x14ac:dyDescent="0.3">
      <c r="B424" s="511"/>
      <c r="C424" s="279"/>
      <c r="D424" s="180"/>
      <c r="E424" s="223"/>
      <c r="F424" s="180"/>
      <c r="G424" s="217">
        <f t="shared" si="29"/>
        <v>0</v>
      </c>
      <c r="H424" s="177"/>
      <c r="I424" s="182"/>
      <c r="J424" s="276"/>
      <c r="K424" s="184"/>
    </row>
    <row r="425" spans="2:11" ht="15.6" hidden="1" x14ac:dyDescent="0.3">
      <c r="B425" s="512"/>
      <c r="C425" s="279"/>
      <c r="D425" s="180"/>
      <c r="E425" s="223"/>
      <c r="F425" s="180"/>
      <c r="G425" s="217">
        <f t="shared" si="29"/>
        <v>0</v>
      </c>
      <c r="H425" s="177"/>
      <c r="I425" s="182"/>
      <c r="J425" s="276"/>
      <c r="K425" s="184"/>
    </row>
    <row r="426" spans="2:11" ht="15.6" hidden="1" x14ac:dyDescent="0.3">
      <c r="B426" s="510" t="s">
        <v>98</v>
      </c>
      <c r="C426" s="279"/>
      <c r="D426" s="180"/>
      <c r="E426" s="223"/>
      <c r="F426" s="180"/>
      <c r="G426" s="217">
        <f t="shared" si="29"/>
        <v>0</v>
      </c>
      <c r="H426" s="177"/>
      <c r="I426" s="182"/>
      <c r="J426" s="276"/>
      <c r="K426" s="184"/>
    </row>
    <row r="427" spans="2:11" ht="15.6" hidden="1" x14ac:dyDescent="0.3">
      <c r="B427" s="511"/>
      <c r="C427" s="279"/>
      <c r="D427" s="180"/>
      <c r="E427" s="223"/>
      <c r="F427" s="180"/>
      <c r="G427" s="217">
        <f t="shared" si="29"/>
        <v>0</v>
      </c>
      <c r="H427" s="177"/>
      <c r="I427" s="182"/>
      <c r="J427" s="276"/>
      <c r="K427" s="184"/>
    </row>
    <row r="428" spans="2:11" ht="15.6" hidden="1" x14ac:dyDescent="0.3">
      <c r="B428" s="511"/>
      <c r="C428" s="279"/>
      <c r="D428" s="180"/>
      <c r="E428" s="223"/>
      <c r="F428" s="180"/>
      <c r="G428" s="217">
        <f t="shared" si="29"/>
        <v>0</v>
      </c>
      <c r="H428" s="177"/>
      <c r="I428" s="182"/>
      <c r="J428" s="276"/>
      <c r="K428" s="184"/>
    </row>
    <row r="429" spans="2:11" ht="15.6" hidden="1" x14ac:dyDescent="0.3">
      <c r="B429" s="511"/>
      <c r="C429" s="279"/>
      <c r="D429" s="180"/>
      <c r="E429" s="223"/>
      <c r="F429" s="180"/>
      <c r="G429" s="217">
        <f t="shared" si="29"/>
        <v>0</v>
      </c>
      <c r="H429" s="177"/>
      <c r="I429" s="182"/>
      <c r="J429" s="276"/>
      <c r="K429" s="184"/>
    </row>
    <row r="430" spans="2:11" ht="15.6" hidden="1" x14ac:dyDescent="0.3">
      <c r="B430" s="512"/>
      <c r="C430" s="279"/>
      <c r="D430" s="180"/>
      <c r="E430" s="223"/>
      <c r="F430" s="180"/>
      <c r="G430" s="217">
        <f t="shared" si="29"/>
        <v>0</v>
      </c>
      <c r="H430" s="177"/>
      <c r="I430" s="182"/>
      <c r="J430" s="276"/>
      <c r="K430" s="184"/>
    </row>
    <row r="431" spans="2:11" ht="15.6" hidden="1" x14ac:dyDescent="0.3">
      <c r="B431" s="272"/>
      <c r="C431" s="79" t="s">
        <v>99</v>
      </c>
      <c r="D431" s="11">
        <f>SUM(D421:D430)</f>
        <v>0</v>
      </c>
      <c r="E431" s="324">
        <f>SUM(E421:E430)</f>
        <v>0</v>
      </c>
      <c r="F431" s="11">
        <f>SUM(F421:F430)</f>
        <v>0</v>
      </c>
      <c r="G431" s="11">
        <f>SUM(G421:G430)</f>
        <v>0</v>
      </c>
      <c r="H431" s="90">
        <f>(H421*G421)+(H422*G422)+(H423*G423)+(H424*G424)+(H425*G425)+(H426*G426)+(H427*G427)+(H428*G428)+(H429*G429)+(H430*G430)</f>
        <v>0</v>
      </c>
      <c r="I431" s="90">
        <f>SUM(I421:I430)</f>
        <v>0</v>
      </c>
      <c r="J431" s="278"/>
      <c r="K431" s="185"/>
    </row>
    <row r="432" spans="2:11" ht="15.75" customHeight="1" x14ac:dyDescent="0.3">
      <c r="B432" s="5"/>
      <c r="C432" s="221"/>
      <c r="D432" s="224"/>
      <c r="E432" s="224"/>
      <c r="F432" s="224"/>
      <c r="G432" s="224"/>
      <c r="H432" s="224"/>
      <c r="I432" s="224"/>
      <c r="J432" s="221"/>
      <c r="K432" s="189"/>
    </row>
    <row r="433" spans="2:13" ht="15.75" customHeight="1" x14ac:dyDescent="0.3">
      <c r="B433" s="5"/>
      <c r="C433" s="221"/>
      <c r="D433" s="224"/>
      <c r="E433" s="224"/>
      <c r="F433" s="224"/>
      <c r="G433" s="224"/>
      <c r="H433" s="224"/>
      <c r="I433" s="224"/>
      <c r="J433" s="221"/>
      <c r="K433" s="189"/>
    </row>
    <row r="434" spans="2:13" ht="23.4" customHeight="1" x14ac:dyDescent="0.3">
      <c r="B434" s="466" t="s">
        <v>100</v>
      </c>
      <c r="C434" s="284" t="s">
        <v>586</v>
      </c>
      <c r="D434" s="304"/>
      <c r="E434" s="321">
        <v>20600</v>
      </c>
      <c r="F434" s="183"/>
      <c r="G434" s="305">
        <f>D434+E434+F434</f>
        <v>20600</v>
      </c>
      <c r="H434" s="177"/>
      <c r="I434" s="226"/>
      <c r="J434" s="291"/>
      <c r="K434" s="184">
        <v>1</v>
      </c>
    </row>
    <row r="435" spans="2:13" ht="23.4" customHeight="1" x14ac:dyDescent="0.3">
      <c r="B435" s="467"/>
      <c r="C435" s="283" t="s">
        <v>607</v>
      </c>
      <c r="D435" s="304">
        <v>120000</v>
      </c>
      <c r="E435" s="321"/>
      <c r="F435" s="183"/>
      <c r="G435" s="305">
        <f t="shared" ref="G435:G437" si="30">D435+E435+F435</f>
        <v>120000</v>
      </c>
      <c r="H435" s="177"/>
      <c r="I435" s="226"/>
      <c r="J435" s="291"/>
      <c r="K435" s="184">
        <v>1</v>
      </c>
    </row>
    <row r="436" spans="2:13" ht="23.4" customHeight="1" x14ac:dyDescent="0.3">
      <c r="B436" s="467"/>
      <c r="C436" s="283" t="s">
        <v>543</v>
      </c>
      <c r="D436" s="304">
        <v>83730</v>
      </c>
      <c r="E436" s="321"/>
      <c r="F436" s="183"/>
      <c r="G436" s="305">
        <f t="shared" si="30"/>
        <v>83730</v>
      </c>
      <c r="H436" s="177"/>
      <c r="I436" s="226"/>
      <c r="J436" s="291"/>
      <c r="K436" s="184">
        <v>4</v>
      </c>
    </row>
    <row r="437" spans="2:13" ht="27.6" customHeight="1" x14ac:dyDescent="0.3">
      <c r="B437" s="467"/>
      <c r="C437" s="283" t="s">
        <v>611</v>
      </c>
      <c r="D437" s="304">
        <f>53166/2</f>
        <v>26583</v>
      </c>
      <c r="E437" s="321"/>
      <c r="F437" s="183"/>
      <c r="G437" s="305">
        <f t="shared" si="30"/>
        <v>26583</v>
      </c>
      <c r="H437" s="177"/>
      <c r="I437" s="226"/>
      <c r="J437" s="291"/>
      <c r="K437" s="184">
        <v>4</v>
      </c>
    </row>
    <row r="438" spans="2:13" ht="25.8" customHeight="1" x14ac:dyDescent="0.3">
      <c r="B438" s="467"/>
      <c r="C438" s="283" t="s">
        <v>587</v>
      </c>
      <c r="D438" s="304"/>
      <c r="E438" s="321">
        <v>19000</v>
      </c>
      <c r="F438" s="183"/>
      <c r="G438" s="305">
        <f t="shared" ref="G438:G448" si="31">D438+E438+F438</f>
        <v>19000</v>
      </c>
      <c r="H438" s="177"/>
      <c r="I438" s="226"/>
      <c r="J438" s="291"/>
      <c r="K438" s="184">
        <v>1</v>
      </c>
      <c r="M438" s="181"/>
    </row>
    <row r="439" spans="2:13" ht="23.4" customHeight="1" x14ac:dyDescent="0.3">
      <c r="B439" s="467"/>
      <c r="C439" s="283" t="s">
        <v>101</v>
      </c>
      <c r="D439" s="304"/>
      <c r="E439" s="321">
        <v>36000</v>
      </c>
      <c r="F439" s="183"/>
      <c r="G439" s="305">
        <f t="shared" si="31"/>
        <v>36000</v>
      </c>
      <c r="H439" s="177"/>
      <c r="I439" s="226"/>
      <c r="J439" s="291"/>
      <c r="K439" s="184">
        <v>1</v>
      </c>
    </row>
    <row r="440" spans="2:13" ht="23.4" customHeight="1" x14ac:dyDescent="0.3">
      <c r="B440" s="467"/>
      <c r="C440" s="283" t="s">
        <v>102</v>
      </c>
      <c r="D440" s="304"/>
      <c r="E440" s="321">
        <v>3100.6</v>
      </c>
      <c r="F440" s="183"/>
      <c r="G440" s="305">
        <f t="shared" si="31"/>
        <v>3100.6</v>
      </c>
      <c r="H440" s="177"/>
      <c r="I440" s="226"/>
      <c r="J440" s="291"/>
      <c r="K440" s="184">
        <v>1</v>
      </c>
    </row>
    <row r="441" spans="2:13" ht="23.4" customHeight="1" x14ac:dyDescent="0.3">
      <c r="B441" s="467"/>
      <c r="C441" s="283" t="s">
        <v>588</v>
      </c>
      <c r="D441" s="304"/>
      <c r="E441" s="321">
        <v>17500</v>
      </c>
      <c r="F441" s="183"/>
      <c r="G441" s="305">
        <f t="shared" si="31"/>
        <v>17500</v>
      </c>
      <c r="H441" s="177"/>
      <c r="I441" s="226"/>
      <c r="J441" s="291"/>
      <c r="K441" s="184">
        <v>1</v>
      </c>
    </row>
    <row r="442" spans="2:13" ht="27" customHeight="1" x14ac:dyDescent="0.3">
      <c r="B442" s="467"/>
      <c r="C442" s="283" t="s">
        <v>589</v>
      </c>
      <c r="D442" s="304"/>
      <c r="E442" s="321">
        <v>17500</v>
      </c>
      <c r="F442" s="183"/>
      <c r="G442" s="305">
        <f t="shared" si="31"/>
        <v>17500</v>
      </c>
      <c r="H442" s="227"/>
      <c r="I442" s="226"/>
      <c r="J442" s="291"/>
      <c r="K442" s="184">
        <v>1</v>
      </c>
    </row>
    <row r="443" spans="2:13" ht="33.75" customHeight="1" x14ac:dyDescent="0.3">
      <c r="B443" s="467"/>
      <c r="C443" s="283" t="s">
        <v>103</v>
      </c>
      <c r="D443" s="304"/>
      <c r="E443" s="321">
        <v>17500</v>
      </c>
      <c r="F443" s="183"/>
      <c r="G443" s="305">
        <f t="shared" si="31"/>
        <v>17500</v>
      </c>
      <c r="H443" s="227"/>
      <c r="I443" s="226"/>
      <c r="J443" s="291"/>
      <c r="K443" s="184">
        <v>1</v>
      </c>
    </row>
    <row r="444" spans="2:13" ht="23.4" hidden="1" customHeight="1" x14ac:dyDescent="0.3">
      <c r="B444" s="467"/>
      <c r="C444" s="183"/>
      <c r="D444" s="183"/>
      <c r="E444" s="325"/>
      <c r="F444" s="183"/>
      <c r="G444" s="305">
        <f t="shared" si="31"/>
        <v>0</v>
      </c>
      <c r="H444" s="227"/>
      <c r="I444" s="226"/>
      <c r="J444" s="291"/>
      <c r="K444" s="184"/>
    </row>
    <row r="445" spans="2:13" ht="23.4" hidden="1" customHeight="1" x14ac:dyDescent="0.3">
      <c r="B445" s="467"/>
      <c r="C445" s="228"/>
      <c r="D445" s="183"/>
      <c r="E445" s="325"/>
      <c r="F445" s="183"/>
      <c r="G445" s="305">
        <f t="shared" si="31"/>
        <v>0</v>
      </c>
      <c r="H445" s="227"/>
      <c r="I445" s="226"/>
      <c r="J445" s="291"/>
      <c r="K445" s="184"/>
    </row>
    <row r="446" spans="2:13" ht="23.4" hidden="1" customHeight="1" x14ac:dyDescent="0.3">
      <c r="B446" s="467"/>
      <c r="C446" s="228"/>
      <c r="D446" s="183"/>
      <c r="E446" s="325"/>
      <c r="F446" s="183"/>
      <c r="G446" s="305">
        <f t="shared" si="31"/>
        <v>0</v>
      </c>
      <c r="H446" s="227"/>
      <c r="I446" s="226"/>
      <c r="J446" s="291"/>
      <c r="K446" s="184"/>
    </row>
    <row r="447" spans="2:13" ht="23.4" hidden="1" customHeight="1" x14ac:dyDescent="0.3">
      <c r="B447" s="467"/>
      <c r="C447" s="228"/>
      <c r="D447" s="183"/>
      <c r="E447" s="325"/>
      <c r="F447" s="183"/>
      <c r="G447" s="305">
        <f t="shared" si="31"/>
        <v>0</v>
      </c>
      <c r="H447" s="227"/>
      <c r="I447" s="226"/>
      <c r="J447" s="291"/>
      <c r="K447" s="184"/>
    </row>
    <row r="448" spans="2:13" ht="23.4" hidden="1" customHeight="1" x14ac:dyDescent="0.3">
      <c r="B448" s="468"/>
      <c r="C448" s="228"/>
      <c r="D448" s="183"/>
      <c r="E448" s="325"/>
      <c r="F448" s="183"/>
      <c r="G448" s="305">
        <f t="shared" si="31"/>
        <v>0</v>
      </c>
      <c r="H448" s="227"/>
      <c r="I448" s="226"/>
      <c r="J448" s="291"/>
      <c r="K448" s="184"/>
    </row>
    <row r="449" spans="2:12" ht="33" customHeight="1" x14ac:dyDescent="0.3">
      <c r="B449" s="466" t="s">
        <v>104</v>
      </c>
      <c r="C449" s="266" t="s">
        <v>560</v>
      </c>
      <c r="D449" s="359">
        <f>650*24</f>
        <v>15600</v>
      </c>
      <c r="E449" s="326">
        <v>11000</v>
      </c>
      <c r="F449" s="183"/>
      <c r="G449" s="305">
        <f t="shared" ref="G449:G458" si="32">D449+E449+F449</f>
        <v>26600</v>
      </c>
      <c r="H449" s="227"/>
      <c r="I449" s="226"/>
      <c r="J449" s="291"/>
      <c r="K449" s="184">
        <v>7</v>
      </c>
      <c r="L449" s="181"/>
    </row>
    <row r="450" spans="2:12" ht="21" customHeight="1" x14ac:dyDescent="0.3">
      <c r="B450" s="467"/>
      <c r="C450" s="266" t="s">
        <v>561</v>
      </c>
      <c r="D450" s="359">
        <v>40000</v>
      </c>
      <c r="E450" s="326">
        <v>19000</v>
      </c>
      <c r="F450" s="183"/>
      <c r="G450" s="305">
        <f t="shared" si="32"/>
        <v>59000</v>
      </c>
      <c r="H450" s="227"/>
      <c r="I450" s="226"/>
      <c r="J450" s="291"/>
      <c r="K450" s="184">
        <v>7</v>
      </c>
      <c r="L450" s="181"/>
    </row>
    <row r="451" spans="2:12" ht="21" customHeight="1" x14ac:dyDescent="0.3">
      <c r="B451" s="467"/>
      <c r="C451" s="266" t="s">
        <v>563</v>
      </c>
      <c r="D451" s="359">
        <v>30000</v>
      </c>
      <c r="E451" s="326">
        <v>7000</v>
      </c>
      <c r="F451" s="183"/>
      <c r="G451" s="305">
        <f t="shared" si="32"/>
        <v>37000</v>
      </c>
      <c r="H451" s="227"/>
      <c r="I451" s="226"/>
      <c r="J451" s="291"/>
      <c r="K451" s="184">
        <v>7</v>
      </c>
      <c r="L451" s="181"/>
    </row>
    <row r="452" spans="2:12" ht="21" customHeight="1" x14ac:dyDescent="0.3">
      <c r="B452" s="467"/>
      <c r="C452" s="266" t="s">
        <v>562</v>
      </c>
      <c r="D452" s="359">
        <v>22000</v>
      </c>
      <c r="E452" s="326">
        <v>8000</v>
      </c>
      <c r="F452" s="183"/>
      <c r="G452" s="305">
        <f t="shared" si="32"/>
        <v>30000</v>
      </c>
      <c r="H452" s="227"/>
      <c r="I452" s="226"/>
      <c r="J452" s="291"/>
      <c r="K452" s="184">
        <v>7</v>
      </c>
      <c r="L452" s="181"/>
    </row>
    <row r="453" spans="2:12" ht="21" customHeight="1" x14ac:dyDescent="0.3">
      <c r="B453" s="467"/>
      <c r="C453" s="266" t="s">
        <v>556</v>
      </c>
      <c r="D453" s="359">
        <v>18000</v>
      </c>
      <c r="E453" s="326">
        <v>8500</v>
      </c>
      <c r="F453" s="183"/>
      <c r="G453" s="305">
        <f t="shared" si="32"/>
        <v>26500</v>
      </c>
      <c r="H453" s="227"/>
      <c r="I453" s="226"/>
      <c r="J453" s="291"/>
      <c r="K453" s="184">
        <v>4</v>
      </c>
      <c r="L453" s="181"/>
    </row>
    <row r="454" spans="2:12" ht="21" customHeight="1" x14ac:dyDescent="0.3">
      <c r="B454" s="468"/>
      <c r="C454" s="266"/>
      <c r="D454" s="359"/>
      <c r="E454" s="326"/>
      <c r="F454" s="183"/>
      <c r="G454" s="305">
        <f t="shared" si="32"/>
        <v>0</v>
      </c>
      <c r="H454" s="227"/>
      <c r="I454" s="226"/>
      <c r="J454" s="291"/>
      <c r="K454" s="184"/>
      <c r="L454" s="181"/>
    </row>
    <row r="455" spans="2:12" ht="19.2" customHeight="1" x14ac:dyDescent="0.3">
      <c r="B455" s="466" t="s">
        <v>105</v>
      </c>
      <c r="C455" s="267" t="s">
        <v>559</v>
      </c>
      <c r="D455" s="359">
        <v>18000</v>
      </c>
      <c r="E455" s="326">
        <v>10150</v>
      </c>
      <c r="F455" s="183"/>
      <c r="G455" s="305">
        <f t="shared" si="32"/>
        <v>28150</v>
      </c>
      <c r="H455" s="227">
        <v>0.35</v>
      </c>
      <c r="I455" s="226"/>
      <c r="J455" s="291"/>
      <c r="K455" s="184">
        <v>5</v>
      </c>
    </row>
    <row r="456" spans="2:12" ht="19.2" customHeight="1" x14ac:dyDescent="0.3">
      <c r="B456" s="467"/>
      <c r="C456" s="267" t="s">
        <v>568</v>
      </c>
      <c r="D456" s="359">
        <f>83730/2</f>
        <v>41865</v>
      </c>
      <c r="E456" s="325"/>
      <c r="F456" s="183"/>
      <c r="G456" s="305"/>
      <c r="H456" s="227"/>
      <c r="I456" s="226"/>
      <c r="J456" s="291"/>
      <c r="K456" s="184">
        <v>4</v>
      </c>
    </row>
    <row r="457" spans="2:12" ht="19.2" customHeight="1" x14ac:dyDescent="0.3">
      <c r="B457" s="467"/>
      <c r="C457" s="267" t="s">
        <v>564</v>
      </c>
      <c r="D457" s="359">
        <v>20000</v>
      </c>
      <c r="E457" s="326"/>
      <c r="F457" s="183"/>
      <c r="G457" s="305">
        <f t="shared" si="32"/>
        <v>20000</v>
      </c>
      <c r="H457" s="227">
        <v>0.35</v>
      </c>
      <c r="I457" s="226"/>
      <c r="J457" s="291"/>
      <c r="K457" s="184">
        <v>4</v>
      </c>
    </row>
    <row r="458" spans="2:12" ht="19.2" customHeight="1" x14ac:dyDescent="0.3">
      <c r="B458" s="467"/>
      <c r="C458" s="267" t="s">
        <v>557</v>
      </c>
      <c r="D458" s="359">
        <v>30000</v>
      </c>
      <c r="E458" s="326">
        <v>30000</v>
      </c>
      <c r="F458" s="183"/>
      <c r="G458" s="305">
        <f t="shared" si="32"/>
        <v>60000</v>
      </c>
      <c r="H458" s="227">
        <v>0.35</v>
      </c>
      <c r="I458" s="226"/>
      <c r="J458" s="291"/>
      <c r="K458" s="184">
        <v>4</v>
      </c>
    </row>
    <row r="459" spans="2:12" ht="19.2" customHeight="1" x14ac:dyDescent="0.3">
      <c r="B459" s="468"/>
      <c r="C459" s="267"/>
      <c r="D459" s="359"/>
      <c r="E459" s="326"/>
      <c r="F459" s="183"/>
      <c r="G459" s="305"/>
      <c r="H459" s="227"/>
      <c r="I459" s="226"/>
      <c r="J459" s="291"/>
      <c r="K459" s="184">
        <v>4</v>
      </c>
    </row>
    <row r="460" spans="2:12" ht="31.2" x14ac:dyDescent="0.3">
      <c r="B460" s="91" t="s">
        <v>106</v>
      </c>
      <c r="C460" s="228" t="s">
        <v>25</v>
      </c>
      <c r="D460" s="304">
        <v>50000</v>
      </c>
      <c r="E460" s="327">
        <v>5000</v>
      </c>
      <c r="F460" s="226"/>
      <c r="G460" s="305">
        <f>D460+E460+F460</f>
        <v>55000</v>
      </c>
      <c r="H460" s="227">
        <v>0.35</v>
      </c>
      <c r="I460" s="226"/>
      <c r="J460" s="291"/>
      <c r="K460" s="184">
        <v>4</v>
      </c>
    </row>
    <row r="461" spans="2:12" ht="33" customHeight="1" x14ac:dyDescent="0.3">
      <c r="B461" s="5"/>
      <c r="C461" s="92" t="s">
        <v>107</v>
      </c>
      <c r="D461" s="309">
        <f>SUM(D434:D460)</f>
        <v>515778</v>
      </c>
      <c r="E461" s="309">
        <f>SUM(E434:E460)</f>
        <v>229850.6</v>
      </c>
      <c r="F461" s="309">
        <f t="shared" ref="F461" si="33">SUM(F434:F460)</f>
        <v>0</v>
      </c>
      <c r="G461" s="309">
        <f>SUM(G434:G460)</f>
        <v>703763.6</v>
      </c>
      <c r="H461" s="309">
        <f>(H434*G434)+(H435*G435)+(H436*G436)+(H437*G437)+(H438*G438)+(H439*G439)+(H440*G440)+(H441*G441)+(H442*G442)+(H443*G443)+(H444*G444)+(H445*G445)+(H446*G446)+(H447*G447)+(H448*G448)+(H449*G449)+(H455*G455)+(H457*G457)+(H458*G458)+(H459*G459)+(H460*G460)</f>
        <v>57102.5</v>
      </c>
      <c r="I461" s="309">
        <f>SUM(I434:I460)</f>
        <v>0</v>
      </c>
      <c r="J461" s="229"/>
      <c r="K461" s="313"/>
    </row>
    <row r="462" spans="2:12" ht="15.75" customHeight="1" x14ac:dyDescent="0.3">
      <c r="B462" s="5"/>
      <c r="C462" s="221"/>
      <c r="D462" s="224"/>
      <c r="E462" s="224"/>
      <c r="F462" s="224"/>
      <c r="G462" s="224"/>
      <c r="H462" s="224"/>
      <c r="I462" s="224"/>
      <c r="J462" s="221"/>
      <c r="K462" s="130"/>
    </row>
    <row r="463" spans="2:12" ht="15.75" hidden="1" customHeight="1" x14ac:dyDescent="0.3">
      <c r="B463" s="5"/>
      <c r="C463" s="221"/>
      <c r="D463" s="224"/>
      <c r="E463" s="224"/>
      <c r="F463" s="224"/>
      <c r="G463" s="224"/>
      <c r="H463" s="224"/>
      <c r="I463" s="224"/>
      <c r="J463" s="221"/>
      <c r="K463" s="130"/>
    </row>
    <row r="464" spans="2:12" ht="15.75" hidden="1" customHeight="1" x14ac:dyDescent="0.3">
      <c r="B464" s="5"/>
      <c r="C464" s="221"/>
      <c r="D464" s="224"/>
      <c r="E464" s="224"/>
      <c r="F464" s="224"/>
      <c r="G464" s="230"/>
      <c r="H464" s="224"/>
      <c r="I464" s="224"/>
      <c r="J464" s="221"/>
      <c r="K464" s="130"/>
    </row>
    <row r="465" spans="2:11" ht="15.75" hidden="1" customHeight="1" x14ac:dyDescent="0.3">
      <c r="B465" s="5"/>
      <c r="C465" s="221"/>
      <c r="D465" s="224"/>
      <c r="E465" s="224"/>
      <c r="F465" s="224"/>
      <c r="G465" s="224"/>
      <c r="H465" s="224"/>
      <c r="I465" s="224"/>
      <c r="J465" s="221"/>
      <c r="K465" s="130"/>
    </row>
    <row r="466" spans="2:11" ht="15.75" hidden="1" customHeight="1" x14ac:dyDescent="0.3">
      <c r="B466" s="5"/>
      <c r="C466" s="221"/>
      <c r="D466" s="224"/>
      <c r="E466" s="224"/>
      <c r="F466" s="224"/>
      <c r="G466" s="224"/>
      <c r="H466" s="224"/>
      <c r="I466" s="224"/>
      <c r="J466" s="221"/>
      <c r="K466" s="130"/>
    </row>
    <row r="467" spans="2:11" ht="15.75" customHeight="1" x14ac:dyDescent="0.3">
      <c r="B467" s="5"/>
      <c r="C467" s="221"/>
      <c r="D467" s="224"/>
      <c r="E467" s="224"/>
      <c r="F467" s="224"/>
      <c r="G467" s="224"/>
      <c r="H467" s="224"/>
      <c r="I467" s="224"/>
      <c r="J467" s="221"/>
      <c r="K467" s="130"/>
    </row>
    <row r="468" spans="2:11" ht="15.75" customHeight="1" thickBot="1" x14ac:dyDescent="0.35">
      <c r="B468" s="5"/>
      <c r="C468" s="221"/>
      <c r="D468" s="224"/>
      <c r="E468" s="224"/>
      <c r="F468" s="224"/>
      <c r="G468" s="224"/>
      <c r="H468" s="224"/>
      <c r="I468" s="224"/>
      <c r="J468" s="221"/>
      <c r="K468" s="130"/>
    </row>
    <row r="469" spans="2:11" ht="21" customHeight="1" x14ac:dyDescent="0.3">
      <c r="B469" s="5"/>
      <c r="C469" s="447" t="s">
        <v>35</v>
      </c>
      <c r="D469" s="448"/>
      <c r="E469" s="354"/>
      <c r="F469" s="99"/>
      <c r="G469" s="129"/>
      <c r="H469" s="10"/>
      <c r="I469" s="116"/>
      <c r="J469" s="10"/>
      <c r="K469" s="292"/>
    </row>
    <row r="470" spans="2:11" ht="36.6" customHeight="1" x14ac:dyDescent="0.3">
      <c r="B470" s="5"/>
      <c r="C470" s="481"/>
      <c r="D470" s="346" t="s">
        <v>32</v>
      </c>
      <c r="E470" s="355" t="s">
        <v>108</v>
      </c>
      <c r="F470" s="350" t="s">
        <v>109</v>
      </c>
      <c r="G470" s="483" t="s">
        <v>53</v>
      </c>
      <c r="H470" s="221"/>
      <c r="I470" s="224"/>
      <c r="J470" s="10"/>
      <c r="K470" s="292"/>
    </row>
    <row r="471" spans="2:11" ht="24.75" customHeight="1" x14ac:dyDescent="0.3">
      <c r="B471" s="5"/>
      <c r="C471" s="482"/>
      <c r="D471" s="347" t="str">
        <f>D13</f>
        <v>PNUD</v>
      </c>
      <c r="E471" s="356" t="str">
        <f>E13</f>
        <v>ONUDC</v>
      </c>
      <c r="F471" s="351">
        <f>F13</f>
        <v>0</v>
      </c>
      <c r="G471" s="484"/>
      <c r="H471" s="221"/>
      <c r="I471" s="224"/>
      <c r="J471" s="10"/>
      <c r="K471" s="292"/>
    </row>
    <row r="472" spans="2:11" ht="41.25" customHeight="1" x14ac:dyDescent="0.3">
      <c r="B472" s="231"/>
      <c r="C472" s="310" t="s">
        <v>43</v>
      </c>
      <c r="D472" s="348">
        <f>SUM(D37,D67,D83,D131,D231,D273,D285,D304,D323,D461)</f>
        <v>1582478</v>
      </c>
      <c r="E472" s="357">
        <f>SUM(E37,E67,E83,E131,E231,E273,E285,E304,E323,E461)</f>
        <v>753970.6</v>
      </c>
      <c r="F472" s="352">
        <f>SUM(F37,F67,F83,F131,F231,F273,F285,F304,F323,F335,F364,F391,F419,F431,F434,F449,F455,F460)</f>
        <v>0</v>
      </c>
      <c r="G472" s="318">
        <f>SUM(D472:F472)</f>
        <v>2336448.6</v>
      </c>
      <c r="H472" s="221"/>
      <c r="I472" s="312"/>
      <c r="J472" s="232"/>
      <c r="K472" s="292"/>
    </row>
    <row r="473" spans="2:11" ht="43.8" customHeight="1" x14ac:dyDescent="0.3">
      <c r="B473" s="233"/>
      <c r="C473" s="310" t="s">
        <v>44</v>
      </c>
      <c r="D473" s="348">
        <f>D472*0.07</f>
        <v>110773.46</v>
      </c>
      <c r="E473" s="357">
        <f>E472*0.07</f>
        <v>52777.942000000003</v>
      </c>
      <c r="F473" s="352">
        <f t="shared" ref="F473" si="34">F472*0.07</f>
        <v>0</v>
      </c>
      <c r="G473" s="318">
        <f>G472*0.07</f>
        <v>163551.40200000003</v>
      </c>
      <c r="H473" s="233"/>
      <c r="I473" s="234"/>
      <c r="J473" s="235"/>
      <c r="K473" s="292"/>
    </row>
    <row r="474" spans="2:11" ht="42" customHeight="1" thickBot="1" x14ac:dyDescent="0.35">
      <c r="B474" s="233"/>
      <c r="C474" s="311" t="s">
        <v>53</v>
      </c>
      <c r="D474" s="349">
        <f>SUM(D472:D473)</f>
        <v>1693251.46</v>
      </c>
      <c r="E474" s="358">
        <f>SUM(E472:E473)</f>
        <v>806748.54200000002</v>
      </c>
      <c r="F474" s="353">
        <f>SUM(F472:F473)</f>
        <v>0</v>
      </c>
      <c r="G474" s="319">
        <f>SUM(G472:G473)</f>
        <v>2500000.0020000003</v>
      </c>
      <c r="H474" s="377"/>
      <c r="I474" s="309"/>
      <c r="J474" s="235"/>
      <c r="K474" s="292"/>
    </row>
    <row r="475" spans="2:11" ht="42" hidden="1" customHeight="1" x14ac:dyDescent="0.3">
      <c r="B475" s="233"/>
      <c r="C475" s="272"/>
      <c r="D475" s="293"/>
      <c r="E475" s="328"/>
      <c r="F475" s="272"/>
      <c r="G475" s="272"/>
      <c r="H475" s="272"/>
      <c r="I475" s="294"/>
      <c r="J475" s="3"/>
      <c r="K475" s="236"/>
    </row>
    <row r="476" spans="2:11" s="31" customFormat="1" ht="29.25" customHeight="1" thickBot="1" x14ac:dyDescent="0.35">
      <c r="B476" s="221"/>
      <c r="C476" s="25"/>
      <c r="D476" s="26"/>
      <c r="E476" s="26"/>
      <c r="F476" s="26"/>
      <c r="G476" s="26"/>
      <c r="H476" s="26"/>
      <c r="I476" s="117"/>
      <c r="J476" s="10"/>
      <c r="K476" s="237"/>
    </row>
    <row r="477" spans="2:11" ht="23.25" customHeight="1" x14ac:dyDescent="0.3">
      <c r="B477" s="235"/>
      <c r="C477" s="475" t="s">
        <v>110</v>
      </c>
      <c r="D477" s="476"/>
      <c r="E477" s="477"/>
      <c r="F477" s="477"/>
      <c r="G477" s="477"/>
      <c r="H477" s="478"/>
      <c r="I477" s="118"/>
      <c r="J477" s="235"/>
      <c r="K477" s="295"/>
    </row>
    <row r="478" spans="2:11" ht="45.6" customHeight="1" x14ac:dyDescent="0.3">
      <c r="B478" s="235"/>
      <c r="C478" s="80"/>
      <c r="D478" s="100" t="s">
        <v>32</v>
      </c>
      <c r="E478" s="100" t="s">
        <v>108</v>
      </c>
      <c r="F478" s="90" t="s">
        <v>109</v>
      </c>
      <c r="G478" s="469" t="s">
        <v>53</v>
      </c>
      <c r="H478" s="471" t="s">
        <v>111</v>
      </c>
      <c r="I478" s="118"/>
      <c r="J478" s="235"/>
      <c r="K478" s="295"/>
    </row>
    <row r="479" spans="2:11" ht="27.75" customHeight="1" x14ac:dyDescent="0.3">
      <c r="B479" s="235"/>
      <c r="C479" s="80"/>
      <c r="D479" s="81" t="str">
        <f>D13</f>
        <v>PNUD</v>
      </c>
      <c r="E479" s="81" t="str">
        <f>E13</f>
        <v>ONUDC</v>
      </c>
      <c r="F479" s="81">
        <f>F13</f>
        <v>0</v>
      </c>
      <c r="G479" s="470"/>
      <c r="H479" s="472"/>
      <c r="I479" s="118"/>
      <c r="J479" s="235"/>
      <c r="K479" s="295"/>
    </row>
    <row r="480" spans="2:11" ht="40.799999999999997" customHeight="1" x14ac:dyDescent="0.3">
      <c r="B480" s="235"/>
      <c r="C480" s="21" t="s">
        <v>112</v>
      </c>
      <c r="D480" s="309">
        <f>$D$474*H480</f>
        <v>1185276.0219999999</v>
      </c>
      <c r="E480" s="309">
        <f>$E$474*H480</f>
        <v>564723.97939999995</v>
      </c>
      <c r="F480" s="309">
        <f>$F$474*H480</f>
        <v>0</v>
      </c>
      <c r="G480" s="309">
        <f>SUM(D480:F480)</f>
        <v>1750000.0014</v>
      </c>
      <c r="H480" s="316">
        <v>0.7</v>
      </c>
      <c r="I480" s="116"/>
      <c r="J480" s="235"/>
      <c r="K480" s="295"/>
    </row>
    <row r="481" spans="1:11" ht="43.2" customHeight="1" x14ac:dyDescent="0.3">
      <c r="B481" s="2"/>
      <c r="C481" s="93" t="s">
        <v>113</v>
      </c>
      <c r="D481" s="309">
        <f>$D$474*H481</f>
        <v>507975.43799999997</v>
      </c>
      <c r="E481" s="309">
        <f>$E$474*H481</f>
        <v>242024.5626</v>
      </c>
      <c r="F481" s="309">
        <f>$F$474*H481</f>
        <v>0</v>
      </c>
      <c r="G481" s="309">
        <f t="shared" ref="G481:G482" si="35">SUM(D481:F481)</f>
        <v>750000.00059999991</v>
      </c>
      <c r="H481" s="317">
        <v>0.3</v>
      </c>
      <c r="I481" s="116"/>
      <c r="J481" s="309"/>
      <c r="K481" s="295"/>
    </row>
    <row r="482" spans="1:11" ht="57.75" hidden="1" customHeight="1" x14ac:dyDescent="0.3">
      <c r="B482" s="2"/>
      <c r="C482" s="93" t="s">
        <v>114</v>
      </c>
      <c r="D482" s="309">
        <f>$D$474*H482</f>
        <v>0</v>
      </c>
      <c r="E482" s="309">
        <f>$E$474*H482</f>
        <v>0</v>
      </c>
      <c r="F482" s="309">
        <f>$F$474*H482</f>
        <v>0</v>
      </c>
      <c r="G482" s="309">
        <f t="shared" si="35"/>
        <v>0</v>
      </c>
      <c r="H482" s="317"/>
      <c r="I482" s="116"/>
      <c r="J482" s="296"/>
      <c r="K482" s="295"/>
    </row>
    <row r="483" spans="1:11" ht="38.25" customHeight="1" thickBot="1" x14ac:dyDescent="0.35">
      <c r="B483" s="2"/>
      <c r="C483" s="22" t="s">
        <v>53</v>
      </c>
      <c r="D483" s="406">
        <f>SUM(D480:D482)</f>
        <v>1693251.46</v>
      </c>
      <c r="E483" s="406">
        <f t="shared" ref="E483:F483" si="36">SUM(E480:E482)</f>
        <v>806748.5419999999</v>
      </c>
      <c r="F483" s="406">
        <f t="shared" si="36"/>
        <v>0</v>
      </c>
      <c r="G483" s="406">
        <f>SUM(G480:G482)</f>
        <v>2500000.0019999999</v>
      </c>
      <c r="H483" s="82"/>
      <c r="I483" s="119"/>
      <c r="J483" s="296"/>
      <c r="K483" s="295"/>
    </row>
    <row r="484" spans="1:11" ht="21.75" customHeight="1" thickBot="1" x14ac:dyDescent="0.35">
      <c r="B484" s="2"/>
      <c r="C484" s="2"/>
      <c r="D484" s="6"/>
      <c r="E484" s="26"/>
      <c r="F484" s="6"/>
      <c r="G484" s="6"/>
      <c r="H484" s="6"/>
      <c r="I484" s="120"/>
      <c r="J484" s="296"/>
      <c r="K484" s="295"/>
    </row>
    <row r="485" spans="1:11" ht="49.5" customHeight="1" x14ac:dyDescent="0.3">
      <c r="B485" s="2"/>
      <c r="C485" s="83" t="s">
        <v>115</v>
      </c>
      <c r="D485" s="309">
        <f>SUM(H37,H67,H83,H131,H231,H273,H285,H304,H323,H461)*1.07</f>
        <v>778898.47500000009</v>
      </c>
      <c r="E485" s="26"/>
      <c r="F485" s="26"/>
      <c r="G485" s="26"/>
      <c r="H485" s="126" t="s">
        <v>116</v>
      </c>
      <c r="I485" s="127">
        <f>SUM(I461,I431,I419,I391,I364,I335,I323,I304,I285,I273,I231,I131,I83,I67,I37)</f>
        <v>0</v>
      </c>
      <c r="J485" s="296"/>
      <c r="K485" s="295"/>
    </row>
    <row r="486" spans="1:11" ht="28.5" customHeight="1" thickBot="1" x14ac:dyDescent="0.35">
      <c r="B486" s="2"/>
      <c r="C486" s="84" t="s">
        <v>117</v>
      </c>
      <c r="D486" s="297">
        <f>D485/G474</f>
        <v>0.31155938975075248</v>
      </c>
      <c r="E486" s="298"/>
      <c r="F486" s="298"/>
      <c r="G486" s="298"/>
      <c r="H486" s="299" t="s">
        <v>118</v>
      </c>
      <c r="I486" s="300">
        <f>I485/G472</f>
        <v>0</v>
      </c>
      <c r="J486" s="296"/>
      <c r="K486" s="295"/>
    </row>
    <row r="487" spans="1:11" ht="28.5" customHeight="1" x14ac:dyDescent="0.3">
      <c r="B487" s="2"/>
      <c r="C487" s="473"/>
      <c r="D487" s="474"/>
      <c r="E487" s="36" t="s">
        <v>119</v>
      </c>
      <c r="F487" s="36"/>
      <c r="G487" s="36"/>
      <c r="H487" s="272"/>
      <c r="I487" s="287"/>
      <c r="J487" s="296"/>
      <c r="K487" s="295"/>
    </row>
    <row r="488" spans="1:11" ht="28.5" customHeight="1" x14ac:dyDescent="0.3">
      <c r="B488" s="2"/>
      <c r="C488" s="84" t="s">
        <v>120</v>
      </c>
      <c r="D488" s="309">
        <f>SUM(D455:F460)*1.07</f>
        <v>219366.05000000002</v>
      </c>
      <c r="E488" s="301"/>
      <c r="F488" s="301"/>
      <c r="G488" s="301"/>
      <c r="H488" s="272"/>
      <c r="I488" s="287"/>
      <c r="J488" s="296"/>
      <c r="K488" s="295"/>
    </row>
    <row r="489" spans="1:11" ht="23.25" customHeight="1" x14ac:dyDescent="0.3">
      <c r="B489" s="2"/>
      <c r="C489" s="84" t="s">
        <v>121</v>
      </c>
      <c r="D489" s="297">
        <f>D488/G474</f>
        <v>8.7746419929802866E-2</v>
      </c>
      <c r="E489" s="301"/>
      <c r="F489" s="301"/>
      <c r="G489" s="301"/>
      <c r="H489" s="272"/>
      <c r="I489" s="287"/>
      <c r="J489" s="296"/>
      <c r="K489" s="295"/>
    </row>
    <row r="490" spans="1:11" ht="68.25" customHeight="1" thickBot="1" x14ac:dyDescent="0.35">
      <c r="B490" s="2"/>
      <c r="C490" s="479" t="s">
        <v>122</v>
      </c>
      <c r="D490" s="480"/>
      <c r="E490" s="27"/>
      <c r="F490" s="27"/>
      <c r="G490" s="27"/>
      <c r="H490" s="296"/>
      <c r="I490" s="302"/>
      <c r="J490" s="296"/>
      <c r="K490" s="295"/>
    </row>
    <row r="491" spans="1:11" ht="55.5" customHeight="1" x14ac:dyDescent="0.3">
      <c r="B491" s="2"/>
      <c r="C491" s="272"/>
      <c r="D491" s="272"/>
      <c r="E491" s="329"/>
      <c r="F491" s="272"/>
      <c r="G491" s="272"/>
      <c r="H491" s="272"/>
      <c r="I491" s="287"/>
      <c r="J491" s="272"/>
      <c r="K491" s="303"/>
    </row>
    <row r="492" spans="1:11" ht="42.75" customHeight="1" x14ac:dyDescent="0.3">
      <c r="B492" s="2"/>
      <c r="C492" s="272"/>
      <c r="D492" s="272"/>
      <c r="E492" s="329"/>
      <c r="F492" s="272"/>
      <c r="G492" s="272"/>
      <c r="H492" s="272"/>
      <c r="I492" s="287"/>
      <c r="J492" s="296"/>
      <c r="K492" s="292"/>
    </row>
    <row r="493" spans="1:11" ht="21.75" customHeight="1" x14ac:dyDescent="0.3">
      <c r="B493" s="2"/>
      <c r="C493" s="272"/>
      <c r="D493" s="272"/>
      <c r="E493" s="329"/>
      <c r="F493" s="272"/>
      <c r="G493" s="272"/>
      <c r="H493" s="272"/>
      <c r="I493" s="287"/>
      <c r="J493" s="296"/>
      <c r="K493" s="292"/>
    </row>
    <row r="494" spans="1:11" ht="21.75" customHeight="1" x14ac:dyDescent="0.3">
      <c r="A494" s="32"/>
      <c r="B494" s="2"/>
      <c r="C494" s="272"/>
      <c r="D494" s="272"/>
      <c r="E494" s="329"/>
      <c r="F494" s="272"/>
      <c r="G494" s="272"/>
      <c r="H494" s="272"/>
      <c r="I494" s="287"/>
      <c r="J494" s="272"/>
      <c r="K494" s="292"/>
    </row>
    <row r="495" spans="1:11" s="32" customFormat="1" ht="23.25" customHeight="1" x14ac:dyDescent="0.3">
      <c r="A495" s="30"/>
      <c r="B495" s="2"/>
      <c r="C495" s="272"/>
      <c r="D495" s="272"/>
      <c r="E495" s="329"/>
      <c r="F495" s="272"/>
      <c r="G495" s="272"/>
      <c r="H495" s="272"/>
      <c r="I495" s="287"/>
      <c r="J495" s="272"/>
      <c r="K495" s="292"/>
    </row>
    <row r="496" spans="1:11" ht="23.25" customHeight="1" x14ac:dyDescent="0.3">
      <c r="B496" s="272"/>
      <c r="C496" s="272"/>
      <c r="D496" s="272"/>
      <c r="E496" s="329"/>
      <c r="F496" s="272"/>
      <c r="G496" s="272"/>
      <c r="H496" s="272"/>
      <c r="I496" s="287"/>
      <c r="J496" s="272"/>
      <c r="K496" s="292"/>
    </row>
    <row r="497" ht="21.75" customHeight="1" x14ac:dyDescent="0.3"/>
    <row r="498" ht="16.5" customHeight="1" x14ac:dyDescent="0.3"/>
    <row r="499" ht="29.25" customHeight="1" x14ac:dyDescent="0.3"/>
    <row r="500" ht="24.75" customHeight="1" x14ac:dyDescent="0.3"/>
    <row r="501" ht="33" customHeight="1" x14ac:dyDescent="0.3"/>
    <row r="503" ht="15" customHeight="1" x14ac:dyDescent="0.3"/>
    <row r="504" ht="25.5" customHeight="1" x14ac:dyDescent="0.3"/>
  </sheetData>
  <sheetProtection formatCells="0" formatColumns="0" formatRows="0"/>
  <mergeCells count="112">
    <mergeCell ref="B1:M1"/>
    <mergeCell ref="B85:B89"/>
    <mergeCell ref="B90:B92"/>
    <mergeCell ref="B93:B95"/>
    <mergeCell ref="B101:B104"/>
    <mergeCell ref="B96:B100"/>
    <mergeCell ref="B409:B413"/>
    <mergeCell ref="B414:B418"/>
    <mergeCell ref="B386:B390"/>
    <mergeCell ref="B263:B267"/>
    <mergeCell ref="B268:B272"/>
    <mergeCell ref="B171:B175"/>
    <mergeCell ref="B176:B180"/>
    <mergeCell ref="B181:B185"/>
    <mergeCell ref="B196:B200"/>
    <mergeCell ref="B186:B190"/>
    <mergeCell ref="B191:B195"/>
    <mergeCell ref="B201:B205"/>
    <mergeCell ref="B206:B210"/>
    <mergeCell ref="B211:B215"/>
    <mergeCell ref="B339:B343"/>
    <mergeCell ref="B344:B348"/>
    <mergeCell ref="B349:B353"/>
    <mergeCell ref="B16:B21"/>
    <mergeCell ref="B325:B329"/>
    <mergeCell ref="B330:B334"/>
    <mergeCell ref="B216:B220"/>
    <mergeCell ref="B221:B225"/>
    <mergeCell ref="B306:B308"/>
    <mergeCell ref="B313:B317"/>
    <mergeCell ref="B318:B322"/>
    <mergeCell ref="B245:B247"/>
    <mergeCell ref="B275:B279"/>
    <mergeCell ref="B280:B284"/>
    <mergeCell ref="B248:B252"/>
    <mergeCell ref="B253:B257"/>
    <mergeCell ref="B258:B262"/>
    <mergeCell ref="B309:B312"/>
    <mergeCell ref="B289:B293"/>
    <mergeCell ref="B294:B298"/>
    <mergeCell ref="B299:B303"/>
    <mergeCell ref="B226:B230"/>
    <mergeCell ref="B233:B237"/>
    <mergeCell ref="B238:B240"/>
    <mergeCell ref="B241:B244"/>
    <mergeCell ref="B426:B430"/>
    <mergeCell ref="B381:B385"/>
    <mergeCell ref="B393:B398"/>
    <mergeCell ref="B399:B403"/>
    <mergeCell ref="B404:B408"/>
    <mergeCell ref="B354:B358"/>
    <mergeCell ref="B359:B363"/>
    <mergeCell ref="B366:B370"/>
    <mergeCell ref="B371:B375"/>
    <mergeCell ref="B376:B380"/>
    <mergeCell ref="B421:B425"/>
    <mergeCell ref="B135:B137"/>
    <mergeCell ref="B138:B140"/>
    <mergeCell ref="B141:B143"/>
    <mergeCell ref="B147:B154"/>
    <mergeCell ref="B155:B162"/>
    <mergeCell ref="B163:B170"/>
    <mergeCell ref="B105:B112"/>
    <mergeCell ref="B123:B130"/>
    <mergeCell ref="B52:B56"/>
    <mergeCell ref="B62:B66"/>
    <mergeCell ref="B69:B71"/>
    <mergeCell ref="B72:B74"/>
    <mergeCell ref="B75:B77"/>
    <mergeCell ref="B57:B61"/>
    <mergeCell ref="B144:B146"/>
    <mergeCell ref="B78:B80"/>
    <mergeCell ref="B81:B82"/>
    <mergeCell ref="B6:M6"/>
    <mergeCell ref="B2:E2"/>
    <mergeCell ref="B9:H9"/>
    <mergeCell ref="C38:J38"/>
    <mergeCell ref="C15:J15"/>
    <mergeCell ref="C68:J68"/>
    <mergeCell ref="B39:B41"/>
    <mergeCell ref="B42:B46"/>
    <mergeCell ref="B47:B51"/>
    <mergeCell ref="B22:B26"/>
    <mergeCell ref="B27:B31"/>
    <mergeCell ref="B32:B36"/>
    <mergeCell ref="C14:J14"/>
    <mergeCell ref="B434:B448"/>
    <mergeCell ref="B455:B459"/>
    <mergeCell ref="G478:G479"/>
    <mergeCell ref="H478:H479"/>
    <mergeCell ref="C487:D487"/>
    <mergeCell ref="C477:H477"/>
    <mergeCell ref="C490:D490"/>
    <mergeCell ref="C470:C471"/>
    <mergeCell ref="G470:G471"/>
    <mergeCell ref="B449:B454"/>
    <mergeCell ref="C337:J337"/>
    <mergeCell ref="C365:J365"/>
    <mergeCell ref="C338:J338"/>
    <mergeCell ref="C392:J392"/>
    <mergeCell ref="C469:D469"/>
    <mergeCell ref="C420:J420"/>
    <mergeCell ref="C84:J84"/>
    <mergeCell ref="C287:J287"/>
    <mergeCell ref="C288:J288"/>
    <mergeCell ref="C305:J305"/>
    <mergeCell ref="C324:J324"/>
    <mergeCell ref="C133:J133"/>
    <mergeCell ref="C134:J134"/>
    <mergeCell ref="C232:J232"/>
    <mergeCell ref="C274:J274"/>
    <mergeCell ref="C286:J286"/>
  </mergeCells>
  <conditionalFormatting sqref="D486">
    <cfRule type="cellIs" dxfId="40" priority="45" operator="lessThan">
      <formula>0.15</formula>
    </cfRule>
  </conditionalFormatting>
  <conditionalFormatting sqref="D489">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486:G486" xr:uid="{E72508C7-C8DD-46A5-878C-E4FA07CAB6AF}"/>
    <dataValidation allowBlank="1" showInputMessage="1" showErrorMessage="1" prompt="M&amp;E Budget Cannot be Less than 5%_x000a_" sqref="D489:G489" xr:uid="{53928C0A-D548-4B6B-97FC-07D38B0E5FA7}"/>
    <dataValidation allowBlank="1" showInputMessage="1" showErrorMessage="1" prompt="Insert *text* description of Outcome here" sqref="C287:J287 C337:J337 C14" xr:uid="{89ACADD6-F982-42D9-AC8D-CCF9750605B2}"/>
    <dataValidation allowBlank="1" showInputMessage="1" showErrorMessage="1" prompt="Insert *text* description of Output here" sqref="C15 C38 C420 C392 C365 C338 C274 C288 C324" xr:uid="{31AC9CA6-D499-4711-A99F-BECD0A64F3A8}"/>
    <dataValidation allowBlank="1" showInputMessage="1" showErrorMessage="1" prompt="Insert *text* description of Activity here" sqref="C16:C21 C39:C40 C105:C130 C397:C411 C275 C393:C394 C325:C334 C339:C356 C421:C430 C366:C381 D294:D303 C42:C43 C47:C49"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88:G488" xr:uid="{8C6643DA-1D03-44FB-AC1F-C4CB706ED3AA}"/>
  </dataValidations>
  <pageMargins left="0.51181102362204722" right="0.51181102362204722" top="0.55118110236220474" bottom="0.55118110236220474" header="0.31496062992125984" footer="0.31496062992125984"/>
  <pageSetup paperSize="9" scale="56" fitToHeight="6" orientation="landscape" r:id="rId1"/>
  <rowBreaks count="1" manualBreakCount="1">
    <brk id="232" max="16383" man="1"/>
  </rowBreaks>
  <ignoredErrors>
    <ignoredError sqref="H28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9" zoomScale="60" zoomScaleNormal="60" workbookViewId="0">
      <selection activeCell="K23" sqref="K23"/>
    </sheetView>
  </sheetViews>
  <sheetFormatPr baseColWidth="10" defaultColWidth="9.109375" defaultRowHeight="15.6" x14ac:dyDescent="0.3"/>
  <cols>
    <col min="1" max="1" width="4.44140625" style="40" customWidth="1"/>
    <col min="2" max="2" width="3.33203125" style="40" customWidth="1"/>
    <col min="3" max="3" width="51.44140625" style="40" customWidth="1"/>
    <col min="4" max="4" width="34.33203125" style="41" customWidth="1"/>
    <col min="5" max="5" width="35" style="41" customWidth="1"/>
    <col min="6" max="6" width="34" style="41" hidden="1" customWidth="1"/>
    <col min="7" max="7" width="25.6640625" style="40" customWidth="1"/>
    <col min="8" max="8" width="21.44140625" style="40" customWidth="1"/>
    <col min="9" max="9" width="16.88671875" style="40" customWidth="1"/>
    <col min="10" max="10" width="19.44140625" style="40" customWidth="1"/>
    <col min="11" max="11" width="19" style="40" customWidth="1"/>
    <col min="12" max="12" width="26" style="40" customWidth="1"/>
    <col min="13" max="13" width="21.109375" style="40" customWidth="1"/>
    <col min="14" max="14" width="7" style="43" customWidth="1"/>
    <col min="15" max="15" width="24.33203125" style="40" customWidth="1"/>
    <col min="16" max="16" width="26.44140625" style="40" customWidth="1"/>
    <col min="17" max="17" width="30.109375" style="40" customWidth="1"/>
    <col min="18" max="18" width="33" style="40" customWidth="1"/>
    <col min="19" max="20" width="22.6640625" style="40" customWidth="1"/>
    <col min="21" max="21" width="23.44140625" style="40" customWidth="1"/>
    <col min="22" max="22" width="32.109375" style="40" customWidth="1"/>
    <col min="23" max="23" width="9.109375" style="40"/>
    <col min="24" max="24" width="17.6640625" style="40" customWidth="1"/>
    <col min="25" max="25" width="26.44140625" style="40" customWidth="1"/>
    <col min="26" max="26" width="22.44140625" style="40" customWidth="1"/>
    <col min="27" max="27" width="29.6640625" style="40" customWidth="1"/>
    <col min="28" max="28" width="23.44140625" style="40" customWidth="1"/>
    <col min="29" max="29" width="18.44140625" style="40" customWidth="1"/>
    <col min="30" max="30" width="17.44140625" style="40" customWidth="1"/>
    <col min="31" max="31" width="25.109375" style="40" customWidth="1"/>
    <col min="32" max="16384" width="9.109375" style="40"/>
  </cols>
  <sheetData>
    <row r="1" spans="2:14" ht="24" customHeight="1" x14ac:dyDescent="0.3">
      <c r="B1" s="238"/>
      <c r="C1" s="238"/>
      <c r="D1" s="239"/>
      <c r="E1" s="239"/>
      <c r="F1" s="239"/>
      <c r="G1" s="238"/>
      <c r="H1" s="238"/>
      <c r="I1" s="238"/>
      <c r="J1" s="238"/>
      <c r="K1" s="238"/>
      <c r="L1" s="13"/>
      <c r="M1" s="4"/>
      <c r="N1" s="238"/>
    </row>
    <row r="2" spans="2:14" ht="46.2" x14ac:dyDescent="0.85">
      <c r="B2" s="238"/>
      <c r="C2" s="489" t="s">
        <v>46</v>
      </c>
      <c r="D2" s="489"/>
      <c r="E2" s="489"/>
      <c r="F2" s="489"/>
      <c r="G2" s="28"/>
      <c r="H2" s="29"/>
      <c r="I2" s="29"/>
      <c r="J2" s="238"/>
      <c r="K2" s="238"/>
      <c r="L2" s="13"/>
      <c r="M2" s="4"/>
      <c r="N2" s="238"/>
    </row>
    <row r="3" spans="2:14" ht="24" customHeight="1" x14ac:dyDescent="0.3">
      <c r="B3" s="238"/>
      <c r="C3" s="33"/>
      <c r="D3" s="30"/>
      <c r="E3" s="30"/>
      <c r="F3" s="30"/>
      <c r="G3" s="30"/>
      <c r="H3" s="30"/>
      <c r="I3" s="30"/>
      <c r="J3" s="238"/>
      <c r="K3" s="238"/>
      <c r="L3" s="13"/>
      <c r="M3" s="4"/>
      <c r="N3" s="238"/>
    </row>
    <row r="4" spans="2:14" ht="24" customHeight="1" thickBot="1" x14ac:dyDescent="0.35">
      <c r="B4" s="238"/>
      <c r="C4" s="33"/>
      <c r="D4" s="30"/>
      <c r="E4" s="30"/>
      <c r="F4" s="30"/>
      <c r="G4" s="30"/>
      <c r="H4" s="30"/>
      <c r="I4" s="30"/>
      <c r="J4" s="238"/>
      <c r="K4" s="238"/>
      <c r="L4" s="13"/>
      <c r="M4" s="4"/>
      <c r="N4" s="238"/>
    </row>
    <row r="5" spans="2:14" ht="41.25" customHeight="1" x14ac:dyDescent="0.7">
      <c r="B5" s="238"/>
      <c r="C5" s="542" t="s">
        <v>123</v>
      </c>
      <c r="D5" s="543"/>
      <c r="E5" s="543"/>
      <c r="F5" s="543"/>
      <c r="G5" s="544"/>
      <c r="H5" s="240"/>
      <c r="I5" s="240"/>
      <c r="J5" s="107"/>
      <c r="K5" s="4"/>
      <c r="L5" s="238"/>
      <c r="M5" s="238"/>
      <c r="N5" s="238"/>
    </row>
    <row r="6" spans="2:14" ht="24" customHeight="1" x14ac:dyDescent="0.3">
      <c r="B6" s="238"/>
      <c r="C6" s="530" t="s">
        <v>124</v>
      </c>
      <c r="D6" s="531"/>
      <c r="E6" s="531"/>
      <c r="F6" s="531"/>
      <c r="G6" s="531"/>
      <c r="H6" s="531"/>
      <c r="I6" s="531"/>
      <c r="J6" s="532"/>
      <c r="K6" s="4"/>
      <c r="L6" s="238"/>
      <c r="M6" s="238"/>
      <c r="N6" s="238"/>
    </row>
    <row r="7" spans="2:14" ht="24" customHeight="1" x14ac:dyDescent="0.3">
      <c r="B7" s="238"/>
      <c r="C7" s="530"/>
      <c r="D7" s="531"/>
      <c r="E7" s="531"/>
      <c r="F7" s="531"/>
      <c r="G7" s="531"/>
      <c r="H7" s="531"/>
      <c r="I7" s="531"/>
      <c r="J7" s="532"/>
      <c r="K7" s="4"/>
      <c r="L7" s="238"/>
      <c r="M7" s="238"/>
      <c r="N7" s="238"/>
    </row>
    <row r="8" spans="2:14" ht="24" customHeight="1" x14ac:dyDescent="0.3">
      <c r="B8" s="238"/>
      <c r="C8" s="530"/>
      <c r="D8" s="531"/>
      <c r="E8" s="531"/>
      <c r="F8" s="531"/>
      <c r="G8" s="531"/>
      <c r="H8" s="531"/>
      <c r="I8" s="531"/>
      <c r="J8" s="532"/>
      <c r="K8" s="4"/>
      <c r="L8" s="238"/>
      <c r="M8" s="238"/>
      <c r="N8" s="238"/>
    </row>
    <row r="9" spans="2:14" ht="10.5" customHeight="1" thickBot="1" x14ac:dyDescent="0.35">
      <c r="B9" s="238"/>
      <c r="C9" s="533"/>
      <c r="D9" s="534"/>
      <c r="E9" s="534"/>
      <c r="F9" s="534"/>
      <c r="G9" s="534"/>
      <c r="H9" s="534"/>
      <c r="I9" s="534"/>
      <c r="J9" s="535"/>
      <c r="K9" s="238"/>
      <c r="L9" s="13"/>
      <c r="M9" s="4"/>
      <c r="N9" s="238"/>
    </row>
    <row r="10" spans="2:14" ht="24" customHeight="1" thickBot="1" x14ac:dyDescent="0.35">
      <c r="B10" s="238"/>
      <c r="C10" s="98"/>
      <c r="D10" s="96"/>
      <c r="E10" s="96"/>
      <c r="F10" s="96"/>
      <c r="G10" s="97"/>
      <c r="H10" s="97"/>
      <c r="I10" s="97"/>
      <c r="J10" s="97"/>
      <c r="K10" s="238"/>
      <c r="L10" s="13"/>
      <c r="M10" s="4"/>
      <c r="N10" s="238"/>
    </row>
    <row r="11" spans="2:14" ht="59.25" customHeight="1" thickBot="1" x14ac:dyDescent="0.55000000000000004">
      <c r="B11" s="238"/>
      <c r="C11" s="490" t="s">
        <v>125</v>
      </c>
      <c r="D11" s="491"/>
      <c r="E11" s="491"/>
      <c r="F11" s="492"/>
      <c r="G11" s="238"/>
      <c r="H11" s="241"/>
      <c r="I11" s="238"/>
      <c r="J11" s="238"/>
      <c r="K11" s="238"/>
      <c r="L11" s="13"/>
      <c r="M11" s="4"/>
      <c r="N11" s="238"/>
    </row>
    <row r="12" spans="2:14" ht="24" customHeight="1" x14ac:dyDescent="0.3">
      <c r="B12" s="238"/>
      <c r="C12" s="37"/>
      <c r="D12" s="37"/>
      <c r="E12" s="37"/>
      <c r="F12" s="37"/>
      <c r="G12" s="238"/>
      <c r="H12" s="238"/>
      <c r="I12" s="238"/>
      <c r="J12" s="238"/>
      <c r="K12" s="238"/>
      <c r="L12" s="13"/>
      <c r="M12" s="4"/>
      <c r="N12" s="238"/>
    </row>
    <row r="13" spans="2:14" ht="40.5" customHeight="1" x14ac:dyDescent="0.3">
      <c r="B13" s="238"/>
      <c r="C13" s="37"/>
      <c r="D13" s="128" t="s">
        <v>32</v>
      </c>
      <c r="E13" s="128" t="s">
        <v>33</v>
      </c>
      <c r="F13" s="128" t="s">
        <v>34</v>
      </c>
      <c r="G13" s="540" t="s">
        <v>53</v>
      </c>
      <c r="H13" s="238"/>
      <c r="I13" s="238"/>
      <c r="J13" s="238"/>
      <c r="K13" s="238"/>
      <c r="L13" s="13"/>
      <c r="M13" s="4"/>
      <c r="N13" s="238"/>
    </row>
    <row r="14" spans="2:14" ht="24" customHeight="1" x14ac:dyDescent="0.3">
      <c r="B14" s="238"/>
      <c r="C14" s="37"/>
      <c r="D14" s="85" t="str">
        <f>'1) Tableau budgétaire 1'!D13</f>
        <v>PNUD</v>
      </c>
      <c r="E14" s="85" t="str">
        <f>'1) Tableau budgétaire 1'!E13</f>
        <v>ONUDC</v>
      </c>
      <c r="F14" s="85">
        <f>'1) Tableau budgétaire 1'!F13</f>
        <v>0</v>
      </c>
      <c r="G14" s="541"/>
      <c r="H14" s="238"/>
      <c r="I14" s="238"/>
      <c r="J14" s="238"/>
      <c r="K14" s="238"/>
      <c r="L14" s="13"/>
      <c r="M14" s="4"/>
      <c r="N14" s="238"/>
    </row>
    <row r="15" spans="2:14" ht="24" customHeight="1" x14ac:dyDescent="0.3">
      <c r="B15" s="527" t="s">
        <v>126</v>
      </c>
      <c r="C15" s="528"/>
      <c r="D15" s="528"/>
      <c r="E15" s="528"/>
      <c r="F15" s="528"/>
      <c r="G15" s="529"/>
      <c r="H15" s="238"/>
      <c r="I15" s="238"/>
      <c r="J15" s="238"/>
      <c r="K15" s="238"/>
      <c r="L15" s="13"/>
      <c r="M15" s="4"/>
      <c r="N15" s="238"/>
    </row>
    <row r="16" spans="2:14" ht="22.5" customHeight="1" x14ac:dyDescent="0.3">
      <c r="B16" s="238"/>
      <c r="C16" s="527" t="s">
        <v>127</v>
      </c>
      <c r="D16" s="528"/>
      <c r="E16" s="528"/>
      <c r="F16" s="528"/>
      <c r="G16" s="529"/>
      <c r="H16" s="238"/>
      <c r="I16" s="238"/>
      <c r="J16" s="238"/>
      <c r="K16" s="238"/>
      <c r="L16" s="13"/>
      <c r="M16" s="4"/>
      <c r="N16" s="238"/>
    </row>
    <row r="17" spans="3:14" ht="24.75" customHeight="1" thickBot="1" x14ac:dyDescent="0.35">
      <c r="C17" s="108" t="s">
        <v>128</v>
      </c>
      <c r="D17" s="109">
        <f>'1) Tableau budgétaire 1'!D37</f>
        <v>380000</v>
      </c>
      <c r="E17" s="109">
        <f>'1) Tableau budgétaire 1'!E37</f>
        <v>0</v>
      </c>
      <c r="F17" s="109">
        <f>'1) Tableau budgétaire 1'!F37</f>
        <v>0</v>
      </c>
      <c r="G17" s="110">
        <f>SUM(D17:F17)</f>
        <v>380000</v>
      </c>
      <c r="H17" s="238"/>
      <c r="I17" s="238"/>
      <c r="J17" s="238"/>
      <c r="K17" s="238"/>
      <c r="L17" s="13"/>
      <c r="M17" s="4"/>
      <c r="N17" s="238"/>
    </row>
    <row r="18" spans="3:14" ht="21.75" customHeight="1" x14ac:dyDescent="0.3">
      <c r="C18" s="48" t="s">
        <v>36</v>
      </c>
      <c r="D18" s="242">
        <f>SUMIF('1) Tableau budgétaire 1'!$K$16:$K$36,LEFT($C18,1),'1) Tableau budgétaire 1'!$D$16:$D$36)</f>
        <v>0</v>
      </c>
      <c r="E18" s="242">
        <f>SUMIF('1) Tableau budgétaire 1'!$K$16:$K$36,LEFT($C18,1),'1) Tableau budgétaire 1'!$E$16:$E$36)</f>
        <v>0</v>
      </c>
      <c r="F18" s="242">
        <f>SUMIF('1) Tableau budgétaire 1'!$K$16:$K$32,LEFT($C18,1),'1) Tableau budgétaire 1'!$F$16:$F$32)</f>
        <v>0</v>
      </c>
      <c r="G18" s="49">
        <f t="shared" ref="G18:G23" si="0">SUM(D18:F18)</f>
        <v>0</v>
      </c>
      <c r="H18" s="238"/>
      <c r="I18" s="238"/>
      <c r="J18" s="238"/>
      <c r="K18" s="238"/>
      <c r="L18" s="238"/>
      <c r="M18" s="238"/>
      <c r="N18" s="238"/>
    </row>
    <row r="19" spans="3:14" x14ac:dyDescent="0.3">
      <c r="C19" s="38" t="s">
        <v>37</v>
      </c>
      <c r="D19" s="242">
        <f>SUMIF('1) Tableau budgétaire 1'!$K$16:$K$36,LEFT($C19,1),'1) Tableau budgétaire 1'!$D$16:$D$36)</f>
        <v>0</v>
      </c>
      <c r="E19" s="242">
        <f>SUMIF('1) Tableau budgétaire 1'!$K$16:$K$36,LEFT($C19,1),'1) Tableau budgétaire 1'!$E$16:$E$36)</f>
        <v>0</v>
      </c>
      <c r="F19" s="242">
        <f>SUMIF('1) Tableau budgétaire 1'!$K$16:$K$32,LEFT($C19,1),'1) Tableau budgétaire 1'!$F$16:$F$32)</f>
        <v>0</v>
      </c>
      <c r="G19" s="47">
        <f t="shared" si="0"/>
        <v>0</v>
      </c>
      <c r="H19" s="238"/>
      <c r="I19" s="238"/>
      <c r="J19" s="238"/>
      <c r="K19" s="238"/>
      <c r="L19" s="238"/>
      <c r="M19" s="238"/>
      <c r="N19" s="238"/>
    </row>
    <row r="20" spans="3:14" ht="15.75" customHeight="1" x14ac:dyDescent="0.3">
      <c r="C20" s="38" t="s">
        <v>38</v>
      </c>
      <c r="D20" s="242">
        <f>SUMIF('1) Tableau budgétaire 1'!$K$16:$K$36,LEFT($C20,1),'1) Tableau budgétaire 1'!$D$16:$D$36)</f>
        <v>0</v>
      </c>
      <c r="E20" s="242">
        <f>SUMIF('1) Tableau budgétaire 1'!$K$16:$K$36,LEFT($C20,1),'1) Tableau budgétaire 1'!$E$16:$E$36)</f>
        <v>0</v>
      </c>
      <c r="F20" s="242">
        <f>SUMIF('1) Tableau budgétaire 1'!$K$16:$K$32,LEFT($C20,1),'1) Tableau budgétaire 1'!$F$16:$F$32)</f>
        <v>0</v>
      </c>
      <c r="G20" s="47">
        <f t="shared" si="0"/>
        <v>0</v>
      </c>
      <c r="H20" s="238"/>
      <c r="I20" s="238"/>
      <c r="J20" s="238"/>
      <c r="K20" s="238"/>
      <c r="L20" s="238"/>
      <c r="M20" s="238"/>
      <c r="N20" s="238"/>
    </row>
    <row r="21" spans="3:14" x14ac:dyDescent="0.3">
      <c r="C21" s="39" t="s">
        <v>39</v>
      </c>
      <c r="D21" s="242">
        <f>SUMIF('1) Tableau budgétaire 1'!$K$16:$K$36,LEFT($C21,1),'1) Tableau budgétaire 1'!$D$16:$D$36)</f>
        <v>380000</v>
      </c>
      <c r="E21" s="242">
        <f>SUMIF('1) Tableau budgétaire 1'!$K$16:$K$36,LEFT($C21,1),'1) Tableau budgétaire 1'!$E$16:$E$36)</f>
        <v>0</v>
      </c>
      <c r="F21" s="242">
        <f>SUMIF('1) Tableau budgétaire 1'!$K$16:$K$32,LEFT($C21,1),'1) Tableau budgétaire 1'!$F$16:$F$32)</f>
        <v>0</v>
      </c>
      <c r="G21" s="47">
        <f t="shared" si="0"/>
        <v>380000</v>
      </c>
      <c r="H21" s="238"/>
      <c r="I21" s="238"/>
      <c r="J21" s="238"/>
      <c r="K21" s="238"/>
      <c r="L21" s="238"/>
      <c r="M21" s="238"/>
      <c r="N21" s="238"/>
    </row>
    <row r="22" spans="3:14" x14ac:dyDescent="0.3">
      <c r="C22" s="38" t="s">
        <v>40</v>
      </c>
      <c r="D22" s="242">
        <f>SUMIF('1) Tableau budgétaire 1'!$K$16:$K$36,LEFT($C22,1),'1) Tableau budgétaire 1'!$D$16:$D$36)</f>
        <v>0</v>
      </c>
      <c r="E22" s="242">
        <f>SUMIF('1) Tableau budgétaire 1'!$K$16:$K$36,LEFT($C22,1),'1) Tableau budgétaire 1'!$E$16:$E$36)</f>
        <v>0</v>
      </c>
      <c r="F22" s="242">
        <f>SUMIF('1) Tableau budgétaire 1'!$K$16:$K$32,LEFT($C22,1),'1) Tableau budgétaire 1'!$F$16:$F$32)</f>
        <v>0</v>
      </c>
      <c r="G22" s="47">
        <f t="shared" si="0"/>
        <v>0</v>
      </c>
      <c r="H22" s="238"/>
      <c r="I22" s="238"/>
      <c r="J22" s="238"/>
      <c r="K22" s="238"/>
      <c r="L22" s="238"/>
      <c r="M22" s="238"/>
      <c r="N22" s="238"/>
    </row>
    <row r="23" spans="3:14" ht="21.75" customHeight="1" x14ac:dyDescent="0.3">
      <c r="C23" s="38" t="s">
        <v>41</v>
      </c>
      <c r="D23" s="242">
        <f>SUMIF('1) Tableau budgétaire 1'!$K$16:$K$36,LEFT($C23,1),'1) Tableau budgétaire 1'!$D$16:$D$36)</f>
        <v>0</v>
      </c>
      <c r="E23" s="242">
        <f>SUMIF('1) Tableau budgétaire 1'!$K$16:$K$36,LEFT($C23,1),'1) Tableau budgétaire 1'!$E$16:$E$36)</f>
        <v>0</v>
      </c>
      <c r="F23" s="242">
        <f>SUMIF('1) Tableau budgétaire 1'!$K$16:$K$32,LEFT($C23,1),'1) Tableau budgétaire 1'!$F$16:$F$32)</f>
        <v>0</v>
      </c>
      <c r="G23" s="47">
        <f t="shared" si="0"/>
        <v>0</v>
      </c>
      <c r="H23" s="238"/>
      <c r="I23" s="238"/>
      <c r="J23" s="238"/>
      <c r="K23" s="238"/>
      <c r="L23" s="238"/>
      <c r="M23" s="238"/>
      <c r="N23" s="238"/>
    </row>
    <row r="24" spans="3:14" ht="36.75" customHeight="1" x14ac:dyDescent="0.3">
      <c r="C24" s="38" t="s">
        <v>42</v>
      </c>
      <c r="D24" s="242">
        <f>SUMIF('1) Tableau budgétaire 1'!$K$16:$K$36,LEFT($C24,1),'1) Tableau budgétaire 1'!$D$16:$D$36)</f>
        <v>0</v>
      </c>
      <c r="E24" s="242">
        <f>SUMIF('1) Tableau budgétaire 1'!$K$16:$K$36,LEFT($C24,1),'1) Tableau budgétaire 1'!$E$16:$E$36)</f>
        <v>0</v>
      </c>
      <c r="F24" s="242">
        <f>SUMIF('1) Tableau budgétaire 1'!$K$16:$K$32,LEFT($C24,1),'1) Tableau budgétaire 1'!$F$16:$F$32)</f>
        <v>0</v>
      </c>
      <c r="G24" s="47">
        <f>SUM(D24:F24)</f>
        <v>0</v>
      </c>
      <c r="H24" s="238"/>
      <c r="I24" s="238"/>
      <c r="J24" s="238"/>
      <c r="K24" s="238"/>
      <c r="L24" s="238"/>
      <c r="M24" s="238"/>
      <c r="N24" s="238"/>
    </row>
    <row r="25" spans="3:14" ht="15.75" customHeight="1" x14ac:dyDescent="0.3">
      <c r="C25" s="42" t="s">
        <v>129</v>
      </c>
      <c r="D25" s="53">
        <f>SUM(D18:D24)</f>
        <v>380000</v>
      </c>
      <c r="E25" s="53">
        <f>SUM(E18:E24)</f>
        <v>0</v>
      </c>
      <c r="F25" s="53">
        <f t="shared" ref="F25" si="1">SUM(F18:F24)</f>
        <v>0</v>
      </c>
      <c r="G25" s="94">
        <f>SUM(D25:F25)</f>
        <v>380000</v>
      </c>
      <c r="H25" s="238"/>
      <c r="I25" s="238"/>
      <c r="J25" s="238"/>
      <c r="K25" s="238"/>
      <c r="L25" s="238"/>
      <c r="M25" s="238"/>
      <c r="N25" s="238"/>
    </row>
    <row r="26" spans="3:14" s="41" customFormat="1" x14ac:dyDescent="0.3">
      <c r="C26" s="54"/>
      <c r="D26" s="55"/>
      <c r="E26" s="55"/>
      <c r="F26" s="55"/>
      <c r="G26" s="95"/>
      <c r="H26" s="239"/>
      <c r="I26" s="239"/>
      <c r="J26" s="239"/>
      <c r="K26" s="239"/>
      <c r="L26" s="239"/>
      <c r="M26" s="239"/>
      <c r="N26" s="239"/>
    </row>
    <row r="27" spans="3:14" x14ac:dyDescent="0.3">
      <c r="C27" s="527" t="s">
        <v>130</v>
      </c>
      <c r="D27" s="528"/>
      <c r="E27" s="528"/>
      <c r="F27" s="528"/>
      <c r="G27" s="529"/>
      <c r="H27" s="238"/>
      <c r="I27" s="238"/>
      <c r="J27" s="238"/>
      <c r="K27" s="238"/>
      <c r="L27" s="238"/>
      <c r="M27" s="238"/>
      <c r="N27" s="238"/>
    </row>
    <row r="28" spans="3:14" ht="27" customHeight="1" thickBot="1" x14ac:dyDescent="0.35">
      <c r="C28" s="50" t="s">
        <v>131</v>
      </c>
      <c r="D28" s="51">
        <f>'1) Tableau budgétaire 1'!D67</f>
        <v>181200</v>
      </c>
      <c r="E28" s="51">
        <f>'1) Tableau budgétaire 1'!E67</f>
        <v>50000</v>
      </c>
      <c r="F28" s="51">
        <f>'1) Tableau budgétaire 1'!F67</f>
        <v>0</v>
      </c>
      <c r="G28" s="52">
        <f t="shared" ref="G28:G36" si="2">SUM(D28:F28)</f>
        <v>231200</v>
      </c>
      <c r="H28" s="238"/>
      <c r="I28" s="238"/>
      <c r="J28" s="238"/>
      <c r="K28" s="238"/>
      <c r="L28" s="238"/>
      <c r="M28" s="238"/>
      <c r="N28" s="238"/>
    </row>
    <row r="29" spans="3:14" x14ac:dyDescent="0.3">
      <c r="C29" s="48" t="s">
        <v>36</v>
      </c>
      <c r="D29" s="242">
        <f>SUMIF('1) Tableau budgétaire 1'!$K$39:$K$66,LEFT($C29,1),'1) Tableau budgétaire 1'!$D$39:$D$66)</f>
        <v>0</v>
      </c>
      <c r="E29" s="242">
        <f>SUMIF('1) Tableau budgétaire 1'!$K$39:$K$66,LEFT($C29,1),'1) Tableau budgétaire 1'!$E$39:$E$66)</f>
        <v>0</v>
      </c>
      <c r="F29" s="242">
        <f>SUMIF('1) Tableau budgétaire 1'!$K$39:$K$66,LEFT($C29,1),'1) Tableau budgétaire 1'!$F$39:$F$66)</f>
        <v>0</v>
      </c>
      <c r="G29" s="49">
        <f t="shared" si="2"/>
        <v>0</v>
      </c>
      <c r="H29" s="238"/>
      <c r="I29" s="238"/>
      <c r="J29" s="238"/>
      <c r="K29" s="238"/>
      <c r="L29" s="238"/>
      <c r="M29" s="238"/>
      <c r="N29" s="238"/>
    </row>
    <row r="30" spans="3:14" x14ac:dyDescent="0.3">
      <c r="C30" s="38" t="s">
        <v>37</v>
      </c>
      <c r="D30" s="242">
        <f>SUMIF('1) Tableau budgétaire 1'!$K$39:$K$66,LEFT($C30,1),'1) Tableau budgétaire 1'!$D$39:$D$66)</f>
        <v>0</v>
      </c>
      <c r="E30" s="242">
        <f>SUMIF('1) Tableau budgétaire 1'!$K$39:$K$66,LEFT($C30,1),'1) Tableau budgétaire 1'!$E$39:$E$66)</f>
        <v>0</v>
      </c>
      <c r="F30" s="242">
        <f>SUMIF('1) Tableau budgétaire 1'!$K$39:$K$66,LEFT($C30,1),'1) Tableau budgétaire 1'!$F$39:$F$66)</f>
        <v>0</v>
      </c>
      <c r="G30" s="47">
        <f t="shared" si="2"/>
        <v>0</v>
      </c>
      <c r="H30" s="238"/>
      <c r="I30" s="238"/>
      <c r="J30" s="238"/>
      <c r="K30" s="238"/>
      <c r="L30" s="238"/>
      <c r="M30" s="238"/>
      <c r="N30" s="238"/>
    </row>
    <row r="31" spans="3:14" ht="31.2" x14ac:dyDescent="0.3">
      <c r="C31" s="38" t="s">
        <v>38</v>
      </c>
      <c r="D31" s="242">
        <f>SUMIF('1) Tableau budgétaire 1'!$K$39:$K$66,LEFT($C31,1),'1) Tableau budgétaire 1'!$D$39:$D$66)</f>
        <v>0</v>
      </c>
      <c r="E31" s="242">
        <f>SUMIF('1) Tableau budgétaire 1'!$K$39:$K$66,LEFT($C31,1),'1) Tableau budgétaire 1'!$E$39:$E$66)</f>
        <v>0</v>
      </c>
      <c r="F31" s="242">
        <f>SUMIF('1) Tableau budgétaire 1'!$K$39:$K$66,LEFT($C31,1),'1) Tableau budgétaire 1'!$F$39:$F$66)</f>
        <v>0</v>
      </c>
      <c r="G31" s="47">
        <f t="shared" si="2"/>
        <v>0</v>
      </c>
      <c r="H31" s="238"/>
      <c r="I31" s="238"/>
      <c r="J31" s="238"/>
      <c r="K31" s="238"/>
      <c r="L31" s="238"/>
      <c r="M31" s="238"/>
      <c r="N31" s="238"/>
    </row>
    <row r="32" spans="3:14" x14ac:dyDescent="0.3">
      <c r="C32" s="39" t="s">
        <v>39</v>
      </c>
      <c r="D32" s="242">
        <f>SUMIF('1) Tableau budgétaire 1'!$K$39:$K$66,LEFT($C32,1),'1) Tableau budgétaire 1'!$D$39:$D$66)</f>
        <v>163000</v>
      </c>
      <c r="E32" s="242">
        <f>SUMIF('1) Tableau budgétaire 1'!$K$39:$K$66,LEFT($C32,1),'1) Tableau budgétaire 1'!$E$39:$E$66)</f>
        <v>50000</v>
      </c>
      <c r="F32" s="242">
        <f>SUMIF('1) Tableau budgétaire 1'!$K$39:$K$66,LEFT($C32,1),'1) Tableau budgétaire 1'!$F$39:$F$66)</f>
        <v>0</v>
      </c>
      <c r="G32" s="47">
        <f t="shared" si="2"/>
        <v>213000</v>
      </c>
      <c r="H32" s="238"/>
      <c r="I32" s="238"/>
      <c r="J32" s="238"/>
      <c r="K32" s="238"/>
      <c r="L32" s="238"/>
      <c r="M32" s="238"/>
      <c r="N32" s="238"/>
    </row>
    <row r="33" spans="3:14" x14ac:dyDescent="0.3">
      <c r="C33" s="38" t="s">
        <v>40</v>
      </c>
      <c r="D33" s="242">
        <f>SUMIF('1) Tableau budgétaire 1'!$K$39:$K$66,LEFT($C33,1),'1) Tableau budgétaire 1'!$D$39:$D$66)</f>
        <v>18200</v>
      </c>
      <c r="E33" s="242">
        <f>SUMIF('1) Tableau budgétaire 1'!$K$39:$K$66,LEFT($C33,1),'1) Tableau budgétaire 1'!$E$39:$E$66)</f>
        <v>0</v>
      </c>
      <c r="F33" s="242">
        <f>SUMIF('1) Tableau budgétaire 1'!$K$39:$K$66,LEFT($C33,1),'1) Tableau budgétaire 1'!$F$39:$F$66)</f>
        <v>0</v>
      </c>
      <c r="G33" s="47">
        <f t="shared" si="2"/>
        <v>18200</v>
      </c>
      <c r="H33" s="238"/>
      <c r="I33" s="238"/>
      <c r="J33" s="238"/>
      <c r="K33" s="238"/>
      <c r="L33" s="238"/>
      <c r="M33" s="238"/>
      <c r="N33" s="238"/>
    </row>
    <row r="34" spans="3:14" x14ac:dyDescent="0.3">
      <c r="C34" s="38" t="s">
        <v>41</v>
      </c>
      <c r="D34" s="242">
        <f>SUMIF('1) Tableau budgétaire 1'!$K$39:$K$66,LEFT($C34,1),'1) Tableau budgétaire 1'!$D$39:$D$66)</f>
        <v>0</v>
      </c>
      <c r="E34" s="242">
        <f>SUMIF('1) Tableau budgétaire 1'!$K$39:$K$66,LEFT($C34,1),'1) Tableau budgétaire 1'!$E$39:$E$66)</f>
        <v>0</v>
      </c>
      <c r="F34" s="242">
        <f>SUMIF('1) Tableau budgétaire 1'!$K$39:$K$66,LEFT($C34,1),'1) Tableau budgétaire 1'!$F$39:$F$66)</f>
        <v>0</v>
      </c>
      <c r="G34" s="47">
        <f t="shared" si="2"/>
        <v>0</v>
      </c>
      <c r="H34" s="238"/>
      <c r="I34" s="238"/>
      <c r="J34" s="238"/>
      <c r="K34" s="238"/>
      <c r="L34" s="238"/>
      <c r="M34" s="238"/>
      <c r="N34" s="238"/>
    </row>
    <row r="35" spans="3:14" ht="31.2" x14ac:dyDescent="0.3">
      <c r="C35" s="38" t="s">
        <v>42</v>
      </c>
      <c r="D35" s="242">
        <f>SUMIF('1) Tableau budgétaire 1'!$K$39:$K$66,LEFT($C35,1),'1) Tableau budgétaire 1'!$D$39:$D$66)</f>
        <v>0</v>
      </c>
      <c r="E35" s="242">
        <f>SUMIF('1) Tableau budgétaire 1'!$K$39:$K$66,LEFT($C35,1),'1) Tableau budgétaire 1'!$E$39:$E$66)</f>
        <v>0</v>
      </c>
      <c r="F35" s="242">
        <f>SUMIF('1) Tableau budgétaire 1'!$K$39:$K$66,LEFT($C35,1),'1) Tableau budgétaire 1'!$F$39:$F$66)</f>
        <v>0</v>
      </c>
      <c r="G35" s="47">
        <f t="shared" si="2"/>
        <v>0</v>
      </c>
      <c r="H35" s="238"/>
      <c r="I35" s="238"/>
      <c r="J35" s="238"/>
      <c r="K35" s="238"/>
      <c r="L35" s="238"/>
      <c r="M35" s="238"/>
      <c r="N35" s="238"/>
    </row>
    <row r="36" spans="3:14" x14ac:dyDescent="0.3">
      <c r="C36" s="42" t="s">
        <v>129</v>
      </c>
      <c r="D36" s="53">
        <f t="shared" ref="D36:E36" si="3">SUM(D29:D35)</f>
        <v>181200</v>
      </c>
      <c r="E36" s="53">
        <f t="shared" si="3"/>
        <v>50000</v>
      </c>
      <c r="F36" s="53">
        <f t="shared" ref="F36" si="4">SUM(F29:F35)</f>
        <v>0</v>
      </c>
      <c r="G36" s="47">
        <f t="shared" si="2"/>
        <v>231200</v>
      </c>
      <c r="H36" s="238"/>
      <c r="I36" s="238"/>
      <c r="J36" s="238"/>
      <c r="K36" s="238"/>
      <c r="L36" s="238"/>
      <c r="M36" s="238"/>
      <c r="N36" s="238"/>
    </row>
    <row r="37" spans="3:14" s="41" customFormat="1" x14ac:dyDescent="0.3">
      <c r="C37" s="54"/>
      <c r="D37" s="55"/>
      <c r="E37" s="55"/>
      <c r="F37" s="55"/>
      <c r="G37" s="56"/>
      <c r="H37" s="239"/>
      <c r="I37" s="239"/>
      <c r="J37" s="239"/>
      <c r="K37" s="239"/>
      <c r="L37" s="239"/>
      <c r="M37" s="239"/>
      <c r="N37" s="239"/>
    </row>
    <row r="38" spans="3:14" x14ac:dyDescent="0.3">
      <c r="C38" s="527" t="s">
        <v>132</v>
      </c>
      <c r="D38" s="528"/>
      <c r="E38" s="528"/>
      <c r="F38" s="528"/>
      <c r="G38" s="529"/>
      <c r="H38" s="238"/>
      <c r="I38" s="238"/>
      <c r="J38" s="238"/>
      <c r="K38" s="238"/>
      <c r="L38" s="238"/>
      <c r="M38" s="238"/>
      <c r="N38" s="238"/>
    </row>
    <row r="39" spans="3:14" ht="21.75" customHeight="1" thickBot="1" x14ac:dyDescent="0.35">
      <c r="C39" s="50" t="s">
        <v>133</v>
      </c>
      <c r="D39" s="51">
        <f>'1) Tableau budgétaire 1'!D83</f>
        <v>61000</v>
      </c>
      <c r="E39" s="51">
        <f>'1) Tableau budgétaire 1'!E83</f>
        <v>82000</v>
      </c>
      <c r="F39" s="51">
        <f>'1) Tableau budgétaire 1'!F83</f>
        <v>0</v>
      </c>
      <c r="G39" s="52">
        <f t="shared" ref="G39:G47" si="5">SUM(D39:F39)</f>
        <v>143000</v>
      </c>
      <c r="H39" s="238"/>
      <c r="I39" s="238"/>
      <c r="J39" s="238"/>
      <c r="K39" s="238"/>
      <c r="L39" s="238"/>
      <c r="M39" s="238"/>
      <c r="N39" s="238"/>
    </row>
    <row r="40" spans="3:14" x14ac:dyDescent="0.3">
      <c r="C40" s="48" t="s">
        <v>36</v>
      </c>
      <c r="D40" s="242">
        <f>SUMIF('1) Tableau budgétaire 1'!$K$69:$K$82,LEFT($C40,1),'1) Tableau budgétaire 1'!$D$69:$D$82)</f>
        <v>0</v>
      </c>
      <c r="E40" s="242">
        <f>SUMIF('1) Tableau budgétaire 1'!$K$69:$K$82,LEFT($C40,1),'1) Tableau budgétaire 1'!$E$69:$E$82)</f>
        <v>0</v>
      </c>
      <c r="F40" s="242">
        <f>SUMIF('1) Tableau budgétaire 1'!$K$69:$K$77,LEFT($C40,1),'1) Tableau budgétaire 1'!$F$69:$F$77)</f>
        <v>0</v>
      </c>
      <c r="G40" s="49">
        <f t="shared" si="5"/>
        <v>0</v>
      </c>
      <c r="H40" s="238"/>
      <c r="I40" s="238"/>
      <c r="J40" s="238"/>
      <c r="K40" s="238"/>
      <c r="L40" s="238"/>
      <c r="M40" s="238"/>
      <c r="N40" s="238"/>
    </row>
    <row r="41" spans="3:14" s="41" customFormat="1" ht="15.75" customHeight="1" x14ac:dyDescent="0.3">
      <c r="C41" s="38" t="s">
        <v>37</v>
      </c>
      <c r="D41" s="242">
        <f>SUMIF('1) Tableau budgétaire 1'!$K$69:$K$82,LEFT($C41,1),'1) Tableau budgétaire 1'!$D$69:$D$82)</f>
        <v>0</v>
      </c>
      <c r="E41" s="242">
        <f>SUMIF('1) Tableau budgétaire 1'!$K$69:$K$82,LEFT($C41,1),'1) Tableau budgétaire 1'!$E$69:$E$82)</f>
        <v>2000</v>
      </c>
      <c r="F41" s="242">
        <f>SUMIF('1) Tableau budgétaire 1'!$K$69:$K$77,LEFT($C41,1),'1) Tableau budgétaire 1'!$F$69:$F$77)</f>
        <v>0</v>
      </c>
      <c r="G41" s="47">
        <f t="shared" si="5"/>
        <v>2000</v>
      </c>
      <c r="H41" s="239"/>
      <c r="I41" s="239"/>
      <c r="J41" s="239"/>
      <c r="K41" s="239"/>
      <c r="L41" s="239"/>
      <c r="M41" s="239"/>
      <c r="N41" s="239"/>
    </row>
    <row r="42" spans="3:14" s="41" customFormat="1" ht="31.2" x14ac:dyDescent="0.3">
      <c r="C42" s="38" t="s">
        <v>38</v>
      </c>
      <c r="D42" s="242">
        <f>SUMIF('1) Tableau budgétaire 1'!$K$69:$K$82,LEFT($C42,1),'1) Tableau budgétaire 1'!$D$69:$D$82)</f>
        <v>0</v>
      </c>
      <c r="E42" s="242">
        <f>SUMIF('1) Tableau budgétaire 1'!$K$69:$K$82,LEFT($C42,1),'1) Tableau budgétaire 1'!$E$69:$E$82)</f>
        <v>0</v>
      </c>
      <c r="F42" s="242">
        <f>SUMIF('1) Tableau budgétaire 1'!$K$69:$K$77,LEFT($C42,1),'1) Tableau budgétaire 1'!$F$69:$F$77)</f>
        <v>0</v>
      </c>
      <c r="G42" s="47">
        <f t="shared" si="5"/>
        <v>0</v>
      </c>
      <c r="H42" s="239"/>
      <c r="I42" s="239"/>
      <c r="J42" s="239"/>
      <c r="K42" s="239"/>
      <c r="L42" s="239"/>
      <c r="M42" s="239"/>
      <c r="N42" s="239"/>
    </row>
    <row r="43" spans="3:14" s="41" customFormat="1" x14ac:dyDescent="0.3">
      <c r="C43" s="39" t="s">
        <v>39</v>
      </c>
      <c r="D43" s="242">
        <f>SUMIF('1) Tableau budgétaire 1'!$K$69:$K$82,LEFT($C43,1),'1) Tableau budgétaire 1'!$D$69:$D$82)</f>
        <v>61000</v>
      </c>
      <c r="E43" s="242">
        <f>SUMIF('1) Tableau budgétaire 1'!$K$69:$K$82,LEFT($C43,1),'1) Tableau budgétaire 1'!$E$69:$E$82)</f>
        <v>80000</v>
      </c>
      <c r="F43" s="242">
        <f>SUMIF('1) Tableau budgétaire 1'!$K$69:$K$77,LEFT($C43,1),'1) Tableau budgétaire 1'!$F$69:$F$77)</f>
        <v>0</v>
      </c>
      <c r="G43" s="47">
        <f t="shared" si="5"/>
        <v>141000</v>
      </c>
      <c r="H43" s="239"/>
      <c r="I43" s="239"/>
      <c r="J43" s="239"/>
      <c r="K43" s="239"/>
      <c r="L43" s="239"/>
      <c r="M43" s="239"/>
      <c r="N43" s="239"/>
    </row>
    <row r="44" spans="3:14" x14ac:dyDescent="0.3">
      <c r="C44" s="38" t="s">
        <v>40</v>
      </c>
      <c r="D44" s="242">
        <f>SUMIF('1) Tableau budgétaire 1'!$K$69:$K$82,LEFT($C44,1),'1) Tableau budgétaire 1'!$D$69:$D$82)</f>
        <v>0</v>
      </c>
      <c r="E44" s="242">
        <f>SUMIF('1) Tableau budgétaire 1'!$K$69:$K$82,LEFT($C44,1),'1) Tableau budgétaire 1'!$E$69:$E$82)</f>
        <v>0</v>
      </c>
      <c r="F44" s="242">
        <f>SUMIF('1) Tableau budgétaire 1'!$K$69:$K$77,LEFT($C44,1),'1) Tableau budgétaire 1'!$F$69:$F$77)</f>
        <v>0</v>
      </c>
      <c r="G44" s="47">
        <f t="shared" si="5"/>
        <v>0</v>
      </c>
      <c r="H44" s="238"/>
      <c r="I44" s="238"/>
      <c r="J44" s="238"/>
      <c r="K44" s="238"/>
      <c r="L44" s="238"/>
      <c r="M44" s="238"/>
      <c r="N44" s="238"/>
    </row>
    <row r="45" spans="3:14" x14ac:dyDescent="0.3">
      <c r="C45" s="38" t="s">
        <v>41</v>
      </c>
      <c r="D45" s="242">
        <f>SUMIF('1) Tableau budgétaire 1'!$K$69:$K$82,LEFT($C45,1),'1) Tableau budgétaire 1'!$D$69:$D$82)</f>
        <v>0</v>
      </c>
      <c r="E45" s="242">
        <f>SUMIF('1) Tableau budgétaire 1'!$K$69:$K$82,LEFT($C45,1),'1) Tableau budgétaire 1'!$E$69:$E$82)</f>
        <v>0</v>
      </c>
      <c r="F45" s="242">
        <f>SUMIF('1) Tableau budgétaire 1'!$K$69:$K$77,LEFT($C45,1),'1) Tableau budgétaire 1'!$F$69:$F$77)</f>
        <v>0</v>
      </c>
      <c r="G45" s="47">
        <f t="shared" si="5"/>
        <v>0</v>
      </c>
      <c r="H45" s="238"/>
      <c r="I45" s="238"/>
      <c r="J45" s="238"/>
      <c r="K45" s="238"/>
      <c r="L45" s="238"/>
      <c r="M45" s="238"/>
      <c r="N45" s="238"/>
    </row>
    <row r="46" spans="3:14" ht="31.2" x14ac:dyDescent="0.3">
      <c r="C46" s="38" t="s">
        <v>42</v>
      </c>
      <c r="D46" s="242">
        <f>SUMIF('1) Tableau budgétaire 1'!$K$69:$K$82,LEFT($C46,1),'1) Tableau budgétaire 1'!$D$69:$D$82)</f>
        <v>0</v>
      </c>
      <c r="E46" s="242">
        <f>SUMIF('1) Tableau budgétaire 1'!$K$69:$K$82,LEFT($C46,1),'1) Tableau budgétaire 1'!$E$69:$E$82)</f>
        <v>0</v>
      </c>
      <c r="F46" s="242">
        <f>SUMIF('1) Tableau budgétaire 1'!$K$69:$K$77,LEFT($C46,1),'1) Tableau budgétaire 1'!$F$69:$F$77)</f>
        <v>0</v>
      </c>
      <c r="G46" s="47">
        <f t="shared" si="5"/>
        <v>0</v>
      </c>
      <c r="H46" s="238"/>
      <c r="I46" s="238"/>
      <c r="J46" s="238"/>
      <c r="K46" s="238"/>
      <c r="L46" s="238"/>
      <c r="M46" s="238"/>
      <c r="N46" s="238"/>
    </row>
    <row r="47" spans="3:14" x14ac:dyDescent="0.3">
      <c r="C47" s="42" t="s">
        <v>129</v>
      </c>
      <c r="D47" s="53">
        <f t="shared" ref="D47:F47" si="6">SUM(D40:D46)</f>
        <v>61000</v>
      </c>
      <c r="E47" s="53">
        <f t="shared" si="6"/>
        <v>82000</v>
      </c>
      <c r="F47" s="53">
        <f t="shared" si="6"/>
        <v>0</v>
      </c>
      <c r="G47" s="47">
        <f t="shared" si="5"/>
        <v>143000</v>
      </c>
      <c r="H47" s="238"/>
      <c r="I47" s="238"/>
      <c r="J47" s="238"/>
      <c r="K47" s="238"/>
      <c r="L47" s="238"/>
      <c r="M47" s="238"/>
      <c r="N47" s="238"/>
    </row>
    <row r="48" spans="3:14" s="41" customFormat="1" x14ac:dyDescent="0.3">
      <c r="C48" s="54"/>
      <c r="D48" s="55"/>
      <c r="E48" s="55"/>
      <c r="F48" s="55"/>
      <c r="G48" s="56"/>
      <c r="H48" s="239"/>
      <c r="I48" s="239"/>
      <c r="J48" s="239"/>
      <c r="K48" s="239"/>
      <c r="L48" s="239"/>
      <c r="M48" s="239"/>
      <c r="N48" s="239"/>
    </row>
    <row r="49" spans="2:14" x14ac:dyDescent="0.3">
      <c r="B49" s="238"/>
      <c r="C49" s="527" t="s">
        <v>134</v>
      </c>
      <c r="D49" s="528"/>
      <c r="E49" s="528"/>
      <c r="F49" s="528"/>
      <c r="G49" s="529"/>
      <c r="H49" s="238"/>
      <c r="I49" s="238"/>
      <c r="J49" s="238"/>
      <c r="K49" s="238"/>
      <c r="L49" s="238"/>
      <c r="M49" s="238"/>
      <c r="N49" s="238"/>
    </row>
    <row r="50" spans="2:14" ht="20.25" customHeight="1" thickBot="1" x14ac:dyDescent="0.35">
      <c r="B50" s="238"/>
      <c r="C50" s="50" t="s">
        <v>135</v>
      </c>
      <c r="D50" s="51">
        <f>'1) Tableau budgétaire 1'!D131</f>
        <v>51500</v>
      </c>
      <c r="E50" s="51">
        <f>'1) Tableau budgétaire 1'!E131</f>
        <v>111000</v>
      </c>
      <c r="F50" s="51">
        <f>'1) Tableau budgétaire 1'!F131</f>
        <v>0</v>
      </c>
      <c r="G50" s="52">
        <f t="shared" ref="G50:G58" si="7">SUM(D50:F50)</f>
        <v>162500</v>
      </c>
      <c r="H50" s="238"/>
      <c r="I50" s="238"/>
      <c r="J50" s="238"/>
      <c r="K50" s="238"/>
      <c r="L50" s="238"/>
      <c r="M50" s="238"/>
      <c r="N50" s="238"/>
    </row>
    <row r="51" spans="2:14" x14ac:dyDescent="0.3">
      <c r="B51" s="238"/>
      <c r="C51" s="48" t="s">
        <v>36</v>
      </c>
      <c r="D51" s="242">
        <f>SUMIF('1) Tableau budgétaire 1'!$K$85:$K$130,LEFT($C51,1),'1) Tableau budgétaire 1'!$D$85:$D$130)</f>
        <v>0</v>
      </c>
      <c r="E51" s="242">
        <f>SUMIF('1) Tableau budgétaire 1'!$K$85:$K$130,LEFT($C51,1),'1) Tableau budgétaire 1'!$E$85:$E$130)</f>
        <v>0</v>
      </c>
      <c r="F51" s="242">
        <f>SUMIF('1) Tableau budgétaire 1'!$K$105:$K$130,LEFT($C51,1),'1) Tableau budgétaire 1'!$F$105:$F$130)</f>
        <v>0</v>
      </c>
      <c r="G51" s="49">
        <f t="shared" si="7"/>
        <v>0</v>
      </c>
      <c r="H51" s="238"/>
      <c r="I51" s="238"/>
      <c r="J51" s="238"/>
      <c r="K51" s="238"/>
      <c r="L51" s="238"/>
      <c r="M51" s="238"/>
      <c r="N51" s="238"/>
    </row>
    <row r="52" spans="2:14" ht="15.75" customHeight="1" x14ac:dyDescent="0.3">
      <c r="B52" s="238"/>
      <c r="C52" s="38" t="s">
        <v>37</v>
      </c>
      <c r="D52" s="242">
        <f>SUMIF('1) Tableau budgétaire 1'!$K$85:$K$130,LEFT($C52,1),'1) Tableau budgétaire 1'!$D$85:$D$130)</f>
        <v>0</v>
      </c>
      <c r="E52" s="242">
        <f>SUMIF('1) Tableau budgétaire 1'!$K$85:$K$130,LEFT($C52,1),'1) Tableau budgétaire 1'!$E$85:$E$130)</f>
        <v>4000</v>
      </c>
      <c r="F52" s="242">
        <f>SUMIF('1) Tableau budgétaire 1'!$K$105:$K$130,LEFT($C52,1),'1) Tableau budgétaire 1'!$F$105:$F$130)</f>
        <v>0</v>
      </c>
      <c r="G52" s="47">
        <f t="shared" si="7"/>
        <v>4000</v>
      </c>
      <c r="H52" s="238"/>
      <c r="I52" s="238"/>
      <c r="J52" s="238"/>
      <c r="K52" s="238"/>
      <c r="L52" s="238"/>
      <c r="M52" s="238"/>
      <c r="N52" s="238"/>
    </row>
    <row r="53" spans="2:14" ht="32.25" customHeight="1" x14ac:dyDescent="0.3">
      <c r="B53" s="238"/>
      <c r="C53" s="38" t="s">
        <v>38</v>
      </c>
      <c r="D53" s="242">
        <f>SUMIF('1) Tableau budgétaire 1'!$K$85:$K$130,LEFT($C53,1),'1) Tableau budgétaire 1'!$D$85:$D$130)</f>
        <v>0</v>
      </c>
      <c r="E53" s="242">
        <f>SUMIF('1) Tableau budgétaire 1'!$K$85:$K$130,LEFT($C53,1),'1) Tableau budgétaire 1'!$E$85:$E$130)</f>
        <v>0</v>
      </c>
      <c r="F53" s="242">
        <f>SUMIF('1) Tableau budgétaire 1'!$K$105:$K$130,LEFT($C53,1),'1) Tableau budgétaire 1'!$F$105:$F$130)</f>
        <v>0</v>
      </c>
      <c r="G53" s="47">
        <f t="shared" si="7"/>
        <v>0</v>
      </c>
      <c r="H53" s="238"/>
      <c r="I53" s="238"/>
      <c r="J53" s="238"/>
      <c r="K53" s="238"/>
      <c r="L53" s="238"/>
      <c r="M53" s="238"/>
      <c r="N53" s="238"/>
    </row>
    <row r="54" spans="2:14" s="41" customFormat="1" x14ac:dyDescent="0.3">
      <c r="B54" s="239"/>
      <c r="C54" s="39" t="s">
        <v>39</v>
      </c>
      <c r="D54" s="242">
        <f>SUMIF('1) Tableau budgétaire 1'!$K$85:$K$130,LEFT($C54,1),'1) Tableau budgétaire 1'!$D$85:$D$130)</f>
        <v>40000</v>
      </c>
      <c r="E54" s="242">
        <f>SUMIF('1) Tableau budgétaire 1'!$K$85:$K$130,LEFT($C54,1),'1) Tableau budgétaire 1'!$E$85:$E$130)</f>
        <v>90000</v>
      </c>
      <c r="F54" s="242">
        <f>SUMIF('1) Tableau budgétaire 1'!$K$105:$K$130,LEFT($C54,1),'1) Tableau budgétaire 1'!$F$105:$F$130)</f>
        <v>0</v>
      </c>
      <c r="G54" s="47">
        <f t="shared" si="7"/>
        <v>130000</v>
      </c>
      <c r="H54" s="239"/>
      <c r="I54" s="239"/>
      <c r="J54" s="239"/>
      <c r="K54" s="239"/>
      <c r="L54" s="239"/>
      <c r="M54" s="239"/>
      <c r="N54" s="239"/>
    </row>
    <row r="55" spans="2:14" x14ac:dyDescent="0.3">
      <c r="B55" s="238"/>
      <c r="C55" s="38" t="s">
        <v>40</v>
      </c>
      <c r="D55" s="242">
        <f>SUMIF('1) Tableau budgétaire 1'!$K$85:$K$130,LEFT($C55,1),'1) Tableau budgétaire 1'!$D$85:$D$130)</f>
        <v>11500</v>
      </c>
      <c r="E55" s="242">
        <f>SUMIF('1) Tableau budgétaire 1'!$K$85:$K$130,LEFT($C55,1),'1) Tableau budgétaire 1'!$E$85:$E$130)</f>
        <v>17000</v>
      </c>
      <c r="F55" s="242">
        <f>SUMIF('1) Tableau budgétaire 1'!$K$105:$K$130,LEFT($C55,1),'1) Tableau budgétaire 1'!$F$105:$F$130)</f>
        <v>0</v>
      </c>
      <c r="G55" s="47">
        <f t="shared" si="7"/>
        <v>28500</v>
      </c>
      <c r="H55" s="238"/>
      <c r="I55" s="238"/>
      <c r="J55" s="238"/>
      <c r="K55" s="238"/>
      <c r="L55" s="238"/>
      <c r="M55" s="238"/>
      <c r="N55" s="238"/>
    </row>
    <row r="56" spans="2:14" x14ac:dyDescent="0.3">
      <c r="B56" s="238"/>
      <c r="C56" s="38" t="s">
        <v>41</v>
      </c>
      <c r="D56" s="242">
        <f>SUMIF('1) Tableau budgétaire 1'!$K$85:$K$130,LEFT($C56,1),'1) Tableau budgétaire 1'!$D$85:$D$130)</f>
        <v>0</v>
      </c>
      <c r="E56" s="242">
        <f>SUMIF('1) Tableau budgétaire 1'!$K$85:$K$130,LEFT($C56,1),'1) Tableau budgétaire 1'!$E$85:$E$130)</f>
        <v>0</v>
      </c>
      <c r="F56" s="242">
        <f>SUMIF('1) Tableau budgétaire 1'!$K$105:$K$130,LEFT($C56,1),'1) Tableau budgétaire 1'!$F$105:$F$130)</f>
        <v>0</v>
      </c>
      <c r="G56" s="47">
        <f t="shared" si="7"/>
        <v>0</v>
      </c>
      <c r="H56" s="238"/>
      <c r="I56" s="238"/>
      <c r="J56" s="238"/>
      <c r="K56" s="238"/>
      <c r="L56" s="238"/>
      <c r="M56" s="238"/>
      <c r="N56" s="238"/>
    </row>
    <row r="57" spans="2:14" ht="31.2" x14ac:dyDescent="0.3">
      <c r="B57" s="238"/>
      <c r="C57" s="38" t="s">
        <v>42</v>
      </c>
      <c r="D57" s="242">
        <f>SUMIF('1) Tableau budgétaire 1'!$K$85:$K$130,LEFT($C57,1),'1) Tableau budgétaire 1'!$D$85:$D$130)</f>
        <v>0</v>
      </c>
      <c r="E57" s="242">
        <f>SUMIF('1) Tableau budgétaire 1'!$K$85:$K$130,LEFT($C57,1),'1) Tableau budgétaire 1'!$E$85:$E$130)</f>
        <v>0</v>
      </c>
      <c r="F57" s="242">
        <f>SUMIF('1) Tableau budgétaire 1'!$K$105:$K$130,LEFT($C57,1),'1) Tableau budgétaire 1'!$F$105:$F$130)</f>
        <v>0</v>
      </c>
      <c r="G57" s="47">
        <f t="shared" si="7"/>
        <v>0</v>
      </c>
      <c r="H57" s="238"/>
      <c r="I57" s="238"/>
      <c r="J57" s="238"/>
      <c r="K57" s="238"/>
      <c r="L57" s="238"/>
      <c r="M57" s="238"/>
      <c r="N57" s="238"/>
    </row>
    <row r="58" spans="2:14" ht="21" customHeight="1" x14ac:dyDescent="0.3">
      <c r="B58" s="238"/>
      <c r="C58" s="42" t="s">
        <v>129</v>
      </c>
      <c r="D58" s="53">
        <f t="shared" ref="D58:E58" si="8">SUM(D51:D57)</f>
        <v>51500</v>
      </c>
      <c r="E58" s="53">
        <f t="shared" si="8"/>
        <v>111000</v>
      </c>
      <c r="F58" s="53">
        <f t="shared" ref="F58" si="9">SUM(F51:F57)</f>
        <v>0</v>
      </c>
      <c r="G58" s="47">
        <f t="shared" si="7"/>
        <v>162500</v>
      </c>
      <c r="H58" s="238"/>
      <c r="I58" s="238"/>
      <c r="J58" s="238"/>
      <c r="K58" s="238"/>
      <c r="L58" s="238"/>
      <c r="M58" s="238"/>
      <c r="N58" s="238"/>
    </row>
    <row r="59" spans="2:14" s="41" customFormat="1" ht="22.5" customHeight="1" x14ac:dyDescent="0.3">
      <c r="B59" s="239"/>
      <c r="C59" s="57"/>
      <c r="D59" s="55"/>
      <c r="E59" s="55"/>
      <c r="F59" s="55"/>
      <c r="G59" s="56"/>
      <c r="H59" s="239"/>
      <c r="I59" s="239"/>
      <c r="J59" s="239"/>
      <c r="K59" s="239"/>
      <c r="L59" s="239"/>
      <c r="M59" s="239"/>
      <c r="N59" s="239"/>
    </row>
    <row r="60" spans="2:14" x14ac:dyDescent="0.3">
      <c r="B60" s="527" t="s">
        <v>136</v>
      </c>
      <c r="C60" s="528"/>
      <c r="D60" s="528"/>
      <c r="E60" s="528"/>
      <c r="F60" s="528"/>
      <c r="G60" s="529"/>
      <c r="H60" s="238"/>
      <c r="I60" s="238"/>
      <c r="J60" s="238"/>
      <c r="K60" s="238"/>
      <c r="L60" s="238"/>
      <c r="M60" s="238"/>
      <c r="N60" s="238"/>
    </row>
    <row r="61" spans="2:14" x14ac:dyDescent="0.3">
      <c r="B61" s="238"/>
      <c r="C61" s="527" t="s">
        <v>12</v>
      </c>
      <c r="D61" s="528"/>
      <c r="E61" s="528"/>
      <c r="F61" s="528"/>
      <c r="G61" s="529"/>
      <c r="H61" s="238"/>
      <c r="I61" s="238"/>
      <c r="J61" s="238"/>
      <c r="K61" s="238"/>
      <c r="L61" s="238"/>
      <c r="M61" s="238"/>
      <c r="N61" s="238"/>
    </row>
    <row r="62" spans="2:14" ht="24" customHeight="1" thickBot="1" x14ac:dyDescent="0.35">
      <c r="B62" s="238"/>
      <c r="C62" s="50" t="s">
        <v>137</v>
      </c>
      <c r="D62" s="51">
        <f>'1) Tableau budgétaire 1'!D231</f>
        <v>0</v>
      </c>
      <c r="E62" s="51">
        <f>'1) Tableau budgétaire 1'!E231</f>
        <v>71000</v>
      </c>
      <c r="F62" s="51">
        <f>'1) Tableau budgétaire 1'!F231</f>
        <v>0</v>
      </c>
      <c r="G62" s="52">
        <f>SUM(D62:F62)</f>
        <v>71000</v>
      </c>
      <c r="H62" s="238"/>
      <c r="I62" s="238"/>
      <c r="J62" s="238"/>
      <c r="K62" s="238"/>
      <c r="L62" s="238"/>
      <c r="M62" s="238"/>
      <c r="N62" s="238"/>
    </row>
    <row r="63" spans="2:14" ht="15.75" customHeight="1" x14ac:dyDescent="0.3">
      <c r="B63" s="238"/>
      <c r="C63" s="48" t="s">
        <v>36</v>
      </c>
      <c r="D63" s="242">
        <f>SUMIF('1) Tableau budgétaire 1'!$K$135:$K$230,LEFT($C63,1),'1) Tableau budgétaire 1'!$D$135:$D$230)</f>
        <v>0</v>
      </c>
      <c r="E63" s="242">
        <f>SUMIF('1) Tableau budgétaire 1'!$K$135:$K$230,LEFT($C63,1),'1) Tableau budgétaire 1'!$E$135:$E$230)</f>
        <v>0</v>
      </c>
      <c r="F63" s="242">
        <f>SUMIF('1) Tableau budgétaire 1'!$K$135:$K$230,LEFT($C63,1),'1) Tableau budgétaire 1'!$F$135:$F$230)</f>
        <v>0</v>
      </c>
      <c r="G63" s="49">
        <f t="shared" ref="G63:G69" si="10">SUM(D63:F63)</f>
        <v>0</v>
      </c>
      <c r="H63" s="238"/>
      <c r="I63" s="238"/>
      <c r="J63" s="238"/>
      <c r="K63" s="238"/>
      <c r="L63" s="238"/>
      <c r="M63" s="238"/>
      <c r="N63" s="238"/>
    </row>
    <row r="64" spans="2:14" ht="15.75" customHeight="1" x14ac:dyDescent="0.3">
      <c r="B64" s="238"/>
      <c r="C64" s="38" t="s">
        <v>37</v>
      </c>
      <c r="D64" s="242">
        <f>SUMIF('1) Tableau budgétaire 1'!$K$135:$K$230,LEFT($C64,1),'1) Tableau budgétaire 1'!$D$135:$D$230)</f>
        <v>0</v>
      </c>
      <c r="E64" s="242">
        <f>SUMIF('1) Tableau budgétaire 1'!$K$135:$K$230,LEFT($C64,1),'1) Tableau budgétaire 1'!$E$135:$E$230)</f>
        <v>4000</v>
      </c>
      <c r="F64" s="242">
        <f>SUMIF('1) Tableau budgétaire 1'!$K$135:$K$230,LEFT($C64,1),'1) Tableau budgétaire 1'!$F$135:$F$230)</f>
        <v>0</v>
      </c>
      <c r="G64" s="47">
        <f t="shared" si="10"/>
        <v>4000</v>
      </c>
      <c r="H64" s="238"/>
      <c r="I64" s="238"/>
      <c r="J64" s="238"/>
      <c r="K64" s="238"/>
      <c r="L64" s="238"/>
      <c r="M64" s="238"/>
      <c r="N64" s="238"/>
    </row>
    <row r="65" spans="2:14" ht="15.75" customHeight="1" x14ac:dyDescent="0.3">
      <c r="B65" s="238"/>
      <c r="C65" s="38" t="s">
        <v>38</v>
      </c>
      <c r="D65" s="242">
        <f>SUMIF('1) Tableau budgétaire 1'!$K$135:$K$230,LEFT($C65,1),'1) Tableau budgétaire 1'!$D$135:$D$230)</f>
        <v>0</v>
      </c>
      <c r="E65" s="242">
        <f>SUMIF('1) Tableau budgétaire 1'!$K$135:$K$230,LEFT($C65,1),'1) Tableau budgétaire 1'!$E$135:$E$230)</f>
        <v>0</v>
      </c>
      <c r="F65" s="242">
        <f>SUMIF('1) Tableau budgétaire 1'!$K$135:$K$230,LEFT($C65,1),'1) Tableau budgétaire 1'!$F$135:$F$230)</f>
        <v>0</v>
      </c>
      <c r="G65" s="47">
        <f t="shared" si="10"/>
        <v>0</v>
      </c>
      <c r="H65" s="238"/>
      <c r="I65" s="238"/>
      <c r="J65" s="238"/>
      <c r="K65" s="238"/>
      <c r="L65" s="238"/>
      <c r="M65" s="238"/>
      <c r="N65" s="238"/>
    </row>
    <row r="66" spans="2:14" ht="18.75" customHeight="1" x14ac:dyDescent="0.3">
      <c r="B66" s="238"/>
      <c r="C66" s="39" t="s">
        <v>39</v>
      </c>
      <c r="D66" s="242">
        <f>SUMIF('1) Tableau budgétaire 1'!$K$135:$K$230,LEFT($C66,1),'1) Tableau budgétaire 1'!$D$135:$D$230)</f>
        <v>0</v>
      </c>
      <c r="E66" s="242">
        <f>SUMIF('1) Tableau budgétaire 1'!$K$135:$K$230,LEFT($C66,1),'1) Tableau budgétaire 1'!$E$135:$E$230)</f>
        <v>67000</v>
      </c>
      <c r="F66" s="242">
        <f>SUMIF('1) Tableau budgétaire 1'!$K$135:$K$230,LEFT($C66,1),'1) Tableau budgétaire 1'!$F$135:$F$230)</f>
        <v>0</v>
      </c>
      <c r="G66" s="47">
        <f t="shared" si="10"/>
        <v>67000</v>
      </c>
      <c r="H66" s="238"/>
      <c r="I66" s="238"/>
      <c r="J66" s="238"/>
      <c r="K66" s="238"/>
      <c r="L66" s="238"/>
      <c r="M66" s="238"/>
      <c r="N66" s="238"/>
    </row>
    <row r="67" spans="2:14" x14ac:dyDescent="0.3">
      <c r="B67" s="238"/>
      <c r="C67" s="38" t="s">
        <v>40</v>
      </c>
      <c r="D67" s="242">
        <f>SUMIF('1) Tableau budgétaire 1'!$K$135:$K$230,LEFT($C67,1),'1) Tableau budgétaire 1'!$D$135:$D$230)</f>
        <v>0</v>
      </c>
      <c r="E67" s="242">
        <f>SUMIF('1) Tableau budgétaire 1'!$K$135:$K$230,LEFT($C67,1),'1) Tableau budgétaire 1'!$E$135:$E$230)</f>
        <v>0</v>
      </c>
      <c r="F67" s="242">
        <f>SUMIF('1) Tableau budgétaire 1'!$K$135:$K$230,LEFT($C67,1),'1) Tableau budgétaire 1'!$F$135:$F$230)</f>
        <v>0</v>
      </c>
      <c r="G67" s="47">
        <f t="shared" si="10"/>
        <v>0</v>
      </c>
      <c r="H67" s="238"/>
      <c r="I67" s="238"/>
      <c r="J67" s="238"/>
      <c r="K67" s="238"/>
      <c r="L67" s="238"/>
      <c r="M67" s="238"/>
      <c r="N67" s="238"/>
    </row>
    <row r="68" spans="2:14" s="41" customFormat="1" ht="21.75" customHeight="1" x14ac:dyDescent="0.3">
      <c r="B68" s="238"/>
      <c r="C68" s="38" t="s">
        <v>41</v>
      </c>
      <c r="D68" s="242">
        <f>SUMIF('1) Tableau budgétaire 1'!$K$135:$K$230,LEFT($C68,1),'1) Tableau budgétaire 1'!$D$135:$D$230)</f>
        <v>0</v>
      </c>
      <c r="E68" s="242">
        <f>SUMIF('1) Tableau budgétaire 1'!$K$135:$K$230,LEFT($C68,1),'1) Tableau budgétaire 1'!$E$135:$E$230)</f>
        <v>0</v>
      </c>
      <c r="F68" s="242">
        <f>SUMIF('1) Tableau budgétaire 1'!$K$135:$K$230,LEFT($C68,1),'1) Tableau budgétaire 1'!$F$135:$F$230)</f>
        <v>0</v>
      </c>
      <c r="G68" s="47">
        <f t="shared" si="10"/>
        <v>0</v>
      </c>
      <c r="H68" s="239"/>
      <c r="I68" s="239"/>
      <c r="J68" s="239"/>
      <c r="K68" s="239"/>
      <c r="L68" s="239"/>
      <c r="M68" s="239"/>
      <c r="N68" s="239"/>
    </row>
    <row r="69" spans="2:14" s="41" customFormat="1" ht="31.2" x14ac:dyDescent="0.3">
      <c r="B69" s="238"/>
      <c r="C69" s="38" t="s">
        <v>42</v>
      </c>
      <c r="D69" s="242">
        <f>SUMIF('1) Tableau budgétaire 1'!$K$135:$K$230,LEFT($C69,1),'1) Tableau budgétaire 1'!$D$135:$D$230)</f>
        <v>0</v>
      </c>
      <c r="E69" s="242">
        <f>SUMIF('1) Tableau budgétaire 1'!$K$135:$K$230,LEFT($C69,1),'1) Tableau budgétaire 1'!$E$135:$E$230)</f>
        <v>0</v>
      </c>
      <c r="F69" s="242">
        <f>SUMIF('1) Tableau budgétaire 1'!$K$135:$K$230,LEFT($C69,1),'1) Tableau budgétaire 1'!$F$135:$F$230)</f>
        <v>0</v>
      </c>
      <c r="G69" s="47">
        <f t="shared" si="10"/>
        <v>0</v>
      </c>
      <c r="H69" s="239"/>
      <c r="I69" s="239"/>
      <c r="J69" s="239"/>
      <c r="K69" s="239"/>
      <c r="L69" s="239"/>
      <c r="M69" s="239"/>
      <c r="N69" s="239"/>
    </row>
    <row r="70" spans="2:14" x14ac:dyDescent="0.3">
      <c r="B70" s="238"/>
      <c r="C70" s="42" t="s">
        <v>129</v>
      </c>
      <c r="D70" s="53">
        <f>SUM(D63:D69)</f>
        <v>0</v>
      </c>
      <c r="E70" s="53">
        <f>SUM(E63:E69)</f>
        <v>71000</v>
      </c>
      <c r="F70" s="53">
        <f t="shared" ref="F70" si="11">SUM(F63:F69)</f>
        <v>0</v>
      </c>
      <c r="G70" s="47">
        <f>SUM(D70:F70)</f>
        <v>71000</v>
      </c>
      <c r="H70" s="238"/>
      <c r="I70" s="238"/>
      <c r="J70" s="238"/>
      <c r="K70" s="238"/>
      <c r="L70" s="238"/>
      <c r="M70" s="238"/>
      <c r="N70" s="238"/>
    </row>
    <row r="71" spans="2:14" s="41" customFormat="1" x14ac:dyDescent="0.3">
      <c r="B71" s="239"/>
      <c r="C71" s="54"/>
      <c r="D71" s="55"/>
      <c r="E71" s="55"/>
      <c r="F71" s="55"/>
      <c r="G71" s="56"/>
      <c r="H71" s="239"/>
      <c r="I71" s="239"/>
      <c r="J71" s="239"/>
      <c r="K71" s="239"/>
      <c r="L71" s="239"/>
      <c r="M71" s="239"/>
      <c r="N71" s="239"/>
    </row>
    <row r="72" spans="2:14" x14ac:dyDescent="0.3">
      <c r="B72" s="239"/>
      <c r="C72" s="527" t="s">
        <v>73</v>
      </c>
      <c r="D72" s="528"/>
      <c r="E72" s="528"/>
      <c r="F72" s="528"/>
      <c r="G72" s="529"/>
      <c r="H72" s="238"/>
      <c r="I72" s="238"/>
      <c r="J72" s="238"/>
      <c r="K72" s="238"/>
      <c r="L72" s="238"/>
      <c r="M72" s="238"/>
      <c r="N72" s="238"/>
    </row>
    <row r="73" spans="2:14" ht="21.75" customHeight="1" thickBot="1" x14ac:dyDescent="0.35">
      <c r="B73" s="238"/>
      <c r="C73" s="50" t="s">
        <v>138</v>
      </c>
      <c r="D73" s="51">
        <f>'1) Tableau budgétaire 1'!D273</f>
        <v>38000</v>
      </c>
      <c r="E73" s="51">
        <f>'1) Tableau budgétaire 1'!E273</f>
        <v>44000</v>
      </c>
      <c r="F73" s="51">
        <f>'1) Tableau budgétaire 1'!F273</f>
        <v>0</v>
      </c>
      <c r="G73" s="52">
        <f t="shared" ref="G73:G81" si="12">SUM(D73:F73)</f>
        <v>82000</v>
      </c>
      <c r="H73" s="238"/>
      <c r="I73" s="238"/>
      <c r="J73" s="238"/>
      <c r="K73" s="238"/>
      <c r="L73" s="238"/>
      <c r="M73" s="238"/>
      <c r="N73" s="238"/>
    </row>
    <row r="74" spans="2:14" ht="15.75" customHeight="1" x14ac:dyDescent="0.3">
      <c r="B74" s="238"/>
      <c r="C74" s="48" t="s">
        <v>36</v>
      </c>
      <c r="D74" s="242">
        <f>SUMIF('1) Tableau budgétaire 1'!$K$233:$K$272,LEFT($C74,1),'1) Tableau budgétaire 1'!$D$233:$D$272)</f>
        <v>0</v>
      </c>
      <c r="E74" s="242">
        <f>SUMIF('1) Tableau budgétaire 1'!$K$233:$K$272,LEFT($C74,1),'1) Tableau budgétaire 1'!$E$233:$E$272)</f>
        <v>0</v>
      </c>
      <c r="F74" s="242">
        <f>SUMIF('1) Tableau budgétaire 1'!$K$233:$K$272,LEFT($C74,1),'1) Tableau budgétaire 1'!$F$233:$F$272)</f>
        <v>0</v>
      </c>
      <c r="G74" s="49">
        <f t="shared" si="12"/>
        <v>0</v>
      </c>
      <c r="H74" s="238"/>
      <c r="I74" s="238"/>
      <c r="J74" s="238"/>
      <c r="K74" s="238"/>
      <c r="L74" s="238"/>
      <c r="M74" s="238"/>
      <c r="N74" s="238"/>
    </row>
    <row r="75" spans="2:14" ht="15.75" customHeight="1" x14ac:dyDescent="0.3">
      <c r="B75" s="238"/>
      <c r="C75" s="38" t="s">
        <v>37</v>
      </c>
      <c r="D75" s="242">
        <f>SUMIF('1) Tableau budgétaire 1'!$K$233:$K$272,LEFT($C75,1),'1) Tableau budgétaire 1'!$D$233:$D$272)</f>
        <v>2000</v>
      </c>
      <c r="E75" s="242">
        <f>SUMIF('1) Tableau budgétaire 1'!$K$233:$K$272,LEFT($C75,1),'1) Tableau budgétaire 1'!$E$233:$E$272)</f>
        <v>2000</v>
      </c>
      <c r="F75" s="242">
        <f>SUMIF('1) Tableau budgétaire 1'!$K$233:$K$272,LEFT($C75,1),'1) Tableau budgétaire 1'!$F$233:$F$272)</f>
        <v>0</v>
      </c>
      <c r="G75" s="47">
        <f t="shared" si="12"/>
        <v>4000</v>
      </c>
      <c r="H75" s="238"/>
      <c r="I75" s="238"/>
      <c r="J75" s="238"/>
      <c r="K75" s="238"/>
      <c r="L75" s="238"/>
      <c r="M75" s="238"/>
      <c r="N75" s="238"/>
    </row>
    <row r="76" spans="2:14" ht="15.75" customHeight="1" x14ac:dyDescent="0.3">
      <c r="B76" s="238"/>
      <c r="C76" s="38" t="s">
        <v>38</v>
      </c>
      <c r="D76" s="242">
        <f>SUMIF('1) Tableau budgétaire 1'!$K$233:$K$272,LEFT($C76,1),'1) Tableau budgétaire 1'!$D$233:$D$272)</f>
        <v>0</v>
      </c>
      <c r="E76" s="242">
        <f>SUMIF('1) Tableau budgétaire 1'!$K$233:$K$272,LEFT($C76,1),'1) Tableau budgétaire 1'!$E$233:$E$272)</f>
        <v>0</v>
      </c>
      <c r="F76" s="242">
        <f>SUMIF('1) Tableau budgétaire 1'!$K$233:$K$272,LEFT($C76,1),'1) Tableau budgétaire 1'!$F$233:$F$272)</f>
        <v>0</v>
      </c>
      <c r="G76" s="47">
        <f t="shared" si="12"/>
        <v>0</v>
      </c>
      <c r="H76" s="238"/>
      <c r="I76" s="238"/>
      <c r="J76" s="238"/>
      <c r="K76" s="238"/>
      <c r="L76" s="238"/>
      <c r="M76" s="238"/>
      <c r="N76" s="238"/>
    </row>
    <row r="77" spans="2:14" x14ac:dyDescent="0.3">
      <c r="B77" s="238"/>
      <c r="C77" s="39" t="s">
        <v>39</v>
      </c>
      <c r="D77" s="242">
        <f>SUMIF('1) Tableau budgétaire 1'!$K$233:$K$272,LEFT($C77,1),'1) Tableau budgétaire 1'!$D$233:$D$272)</f>
        <v>35000</v>
      </c>
      <c r="E77" s="242">
        <f>SUMIF('1) Tableau budgétaire 1'!$K$233:$K$272,LEFT($C77,1),'1) Tableau budgétaire 1'!$E$233:$E$272)</f>
        <v>40000</v>
      </c>
      <c r="F77" s="242">
        <f>SUMIF('1) Tableau budgétaire 1'!$K$233:$K$272,LEFT($C77,1),'1) Tableau budgétaire 1'!$F$233:$F$272)</f>
        <v>0</v>
      </c>
      <c r="G77" s="47">
        <f t="shared" si="12"/>
        <v>75000</v>
      </c>
      <c r="H77" s="238"/>
      <c r="I77" s="238"/>
      <c r="J77" s="238"/>
      <c r="K77" s="238"/>
      <c r="L77" s="238"/>
      <c r="M77" s="238"/>
      <c r="N77" s="238"/>
    </row>
    <row r="78" spans="2:14" x14ac:dyDescent="0.3">
      <c r="B78" s="238"/>
      <c r="C78" s="38" t="s">
        <v>40</v>
      </c>
      <c r="D78" s="242">
        <f>SUMIF('1) Tableau budgétaire 1'!$K$233:$K$272,LEFT($C78,1),'1) Tableau budgétaire 1'!$D$233:$D$272)</f>
        <v>1000</v>
      </c>
      <c r="E78" s="242">
        <f>SUMIF('1) Tableau budgétaire 1'!$K$233:$K$272,LEFT($C78,1),'1) Tableau budgétaire 1'!$E$233:$E$272)</f>
        <v>2000</v>
      </c>
      <c r="F78" s="242">
        <f>SUMIF('1) Tableau budgétaire 1'!$K$233:$K$272,LEFT($C78,1),'1) Tableau budgétaire 1'!$F$233:$F$272)</f>
        <v>0</v>
      </c>
      <c r="G78" s="47">
        <f t="shared" si="12"/>
        <v>3000</v>
      </c>
      <c r="H78" s="238"/>
      <c r="I78" s="238"/>
      <c r="J78" s="238"/>
      <c r="K78" s="238"/>
      <c r="L78" s="238"/>
      <c r="M78" s="238"/>
      <c r="N78" s="238"/>
    </row>
    <row r="79" spans="2:14" x14ac:dyDescent="0.3">
      <c r="B79" s="238"/>
      <c r="C79" s="38" t="s">
        <v>41</v>
      </c>
      <c r="D79" s="242">
        <f>SUMIF('1) Tableau budgétaire 1'!$K$233:$K$272,LEFT($C79,1),'1) Tableau budgétaire 1'!$D$233:$D$272)</f>
        <v>0</v>
      </c>
      <c r="E79" s="242">
        <f>SUMIF('1) Tableau budgétaire 1'!$K$233:$K$272,LEFT($C79,1),'1) Tableau budgétaire 1'!$E$233:$E$272)</f>
        <v>0</v>
      </c>
      <c r="F79" s="242">
        <f>SUMIF('1) Tableau budgétaire 1'!$K$233:$K$272,LEFT($C79,1),'1) Tableau budgétaire 1'!$F$233:$F$272)</f>
        <v>0</v>
      </c>
      <c r="G79" s="47">
        <f t="shared" si="12"/>
        <v>0</v>
      </c>
      <c r="H79" s="238"/>
      <c r="I79" s="238"/>
      <c r="J79" s="238"/>
      <c r="K79" s="238"/>
      <c r="L79" s="238"/>
      <c r="M79" s="238"/>
      <c r="N79" s="238"/>
    </row>
    <row r="80" spans="2:14" ht="31.2" x14ac:dyDescent="0.3">
      <c r="B80" s="238"/>
      <c r="C80" s="38" t="s">
        <v>42</v>
      </c>
      <c r="D80" s="242">
        <f>SUMIF('1) Tableau budgétaire 1'!$K$233:$K$272,LEFT($C80,1),'1) Tableau budgétaire 1'!$D$233:$D$272)</f>
        <v>0</v>
      </c>
      <c r="E80" s="242">
        <f>SUMIF('1) Tableau budgétaire 1'!$K$233:$K$272,LEFT($C80,1),'1) Tableau budgétaire 1'!$E$233:$E$272)</f>
        <v>0</v>
      </c>
      <c r="F80" s="242">
        <f>SUMIF('1) Tableau budgétaire 1'!$K$233:$K$272,LEFT($C80,1),'1) Tableau budgétaire 1'!$F$233:$F$272)</f>
        <v>0</v>
      </c>
      <c r="G80" s="47">
        <f t="shared" si="12"/>
        <v>0</v>
      </c>
      <c r="H80" s="238"/>
      <c r="I80" s="238"/>
      <c r="J80" s="238"/>
      <c r="K80" s="238"/>
      <c r="L80" s="238"/>
      <c r="M80" s="238"/>
      <c r="N80" s="238"/>
    </row>
    <row r="81" spans="2:14" x14ac:dyDescent="0.3">
      <c r="B81" s="238"/>
      <c r="C81" s="42" t="s">
        <v>129</v>
      </c>
      <c r="D81" s="53">
        <f t="shared" ref="D81:E81" si="13">SUM(D74:D80)</f>
        <v>38000</v>
      </c>
      <c r="E81" s="53">
        <f t="shared" si="13"/>
        <v>44000</v>
      </c>
      <c r="F81" s="53">
        <f t="shared" ref="F81" si="14">SUM(F74:F80)</f>
        <v>0</v>
      </c>
      <c r="G81" s="47">
        <f t="shared" si="12"/>
        <v>82000</v>
      </c>
      <c r="H81" s="238"/>
      <c r="I81" s="238"/>
      <c r="J81" s="238"/>
      <c r="K81" s="238"/>
      <c r="L81" s="238"/>
      <c r="M81" s="238"/>
      <c r="N81" s="238"/>
    </row>
    <row r="82" spans="2:14" s="41" customFormat="1" x14ac:dyDescent="0.3">
      <c r="B82" s="239"/>
      <c r="C82" s="54"/>
      <c r="D82" s="55"/>
      <c r="E82" s="55"/>
      <c r="F82" s="55"/>
      <c r="G82" s="56"/>
      <c r="H82" s="239"/>
      <c r="I82" s="239"/>
      <c r="J82" s="239"/>
      <c r="K82" s="239"/>
      <c r="L82" s="239"/>
      <c r="M82" s="239"/>
      <c r="N82" s="239"/>
    </row>
    <row r="83" spans="2:14" x14ac:dyDescent="0.3">
      <c r="B83" s="238"/>
      <c r="C83" s="527" t="s">
        <v>76</v>
      </c>
      <c r="D83" s="528"/>
      <c r="E83" s="528"/>
      <c r="F83" s="528"/>
      <c r="G83" s="529"/>
      <c r="H83" s="238"/>
      <c r="I83" s="238"/>
      <c r="J83" s="238"/>
      <c r="K83" s="238"/>
      <c r="L83" s="238"/>
      <c r="M83" s="238"/>
      <c r="N83" s="238"/>
    </row>
    <row r="84" spans="2:14" ht="21.75" customHeight="1" thickBot="1" x14ac:dyDescent="0.35">
      <c r="B84" s="239"/>
      <c r="C84" s="50" t="s">
        <v>139</v>
      </c>
      <c r="D84" s="51">
        <f>'1) Tableau budgétaire 1'!D285</f>
        <v>0</v>
      </c>
      <c r="E84" s="51">
        <f>'1) Tableau budgétaire 1'!E285</f>
        <v>0</v>
      </c>
      <c r="F84" s="51">
        <f>'1) Tableau budgétaire 1'!F285</f>
        <v>0</v>
      </c>
      <c r="G84" s="52">
        <f t="shared" ref="G84:G92" si="15">SUM(D84:F84)</f>
        <v>0</v>
      </c>
      <c r="H84" s="238"/>
      <c r="I84" s="238"/>
      <c r="J84" s="238"/>
      <c r="K84" s="238"/>
      <c r="L84" s="238"/>
      <c r="M84" s="238"/>
      <c r="N84" s="238"/>
    </row>
    <row r="85" spans="2:14" ht="18" customHeight="1" x14ac:dyDescent="0.3">
      <c r="B85" s="238"/>
      <c r="C85" s="48" t="s">
        <v>36</v>
      </c>
      <c r="D85" s="242">
        <f>SUMIF('1) Tableau budgétaire 1'!$K$275:$K$284,LEFT($C85,1),'1) Tableau budgétaire 1'!$D$275:$D$284)</f>
        <v>0</v>
      </c>
      <c r="E85" s="242">
        <f>SUMIF('1) Tableau budgétaire 1'!$K$275:$K$284,LEFT($C85,1),'1) Tableau budgétaire 1'!$E$275:$E$284)</f>
        <v>0</v>
      </c>
      <c r="F85" s="242">
        <f>SUMIF('1) Tableau budgétaire 1'!$K$275:$K$284,LEFT($C85,1),'1) Tableau budgétaire 1'!$F$275:$F$284)</f>
        <v>0</v>
      </c>
      <c r="G85" s="49">
        <f t="shared" si="15"/>
        <v>0</v>
      </c>
      <c r="H85" s="238"/>
      <c r="I85" s="238"/>
      <c r="J85" s="238"/>
      <c r="K85" s="238"/>
      <c r="L85" s="238"/>
      <c r="M85" s="238"/>
      <c r="N85" s="238"/>
    </row>
    <row r="86" spans="2:14" ht="15.75" customHeight="1" x14ac:dyDescent="0.3">
      <c r="B86" s="238"/>
      <c r="C86" s="38" t="s">
        <v>37</v>
      </c>
      <c r="D86" s="242">
        <f>SUMIF('1) Tableau budgétaire 1'!$K$275:$K$284,LEFT($C86,1),'1) Tableau budgétaire 1'!$D$275:$D$284)</f>
        <v>0</v>
      </c>
      <c r="E86" s="242">
        <f>SUMIF('1) Tableau budgétaire 1'!$K$275:$K$284,LEFT($C86,1),'1) Tableau budgétaire 1'!$E$275:$E$284)</f>
        <v>0</v>
      </c>
      <c r="F86" s="242">
        <f>SUMIF('1) Tableau budgétaire 1'!$K$275:$K$284,LEFT($C86,1),'1) Tableau budgétaire 1'!$F$275:$F$284)</f>
        <v>0</v>
      </c>
      <c r="G86" s="47">
        <f t="shared" si="15"/>
        <v>0</v>
      </c>
      <c r="H86" s="238"/>
      <c r="I86" s="238"/>
      <c r="J86" s="238"/>
      <c r="K86" s="238"/>
      <c r="L86" s="238"/>
      <c r="M86" s="238"/>
      <c r="N86" s="238"/>
    </row>
    <row r="87" spans="2:14" s="41" customFormat="1" ht="15.75" customHeight="1" x14ac:dyDescent="0.3">
      <c r="B87" s="238"/>
      <c r="C87" s="38" t="s">
        <v>38</v>
      </c>
      <c r="D87" s="242">
        <f>SUMIF('1) Tableau budgétaire 1'!$K$275:$K$284,LEFT($C87,1),'1) Tableau budgétaire 1'!$D$275:$D$284)</f>
        <v>0</v>
      </c>
      <c r="E87" s="242">
        <f>SUMIF('1) Tableau budgétaire 1'!$K$275:$K$284,LEFT($C87,1),'1) Tableau budgétaire 1'!$E$275:$E$284)</f>
        <v>0</v>
      </c>
      <c r="F87" s="242">
        <f>SUMIF('1) Tableau budgétaire 1'!$K$275:$K$284,LEFT($C87,1),'1) Tableau budgétaire 1'!$F$275:$F$284)</f>
        <v>0</v>
      </c>
      <c r="G87" s="47">
        <f t="shared" si="15"/>
        <v>0</v>
      </c>
      <c r="H87" s="239"/>
      <c r="I87" s="239"/>
      <c r="J87" s="239"/>
      <c r="K87" s="239"/>
      <c r="L87" s="239"/>
      <c r="M87" s="239"/>
      <c r="N87" s="239"/>
    </row>
    <row r="88" spans="2:14" x14ac:dyDescent="0.3">
      <c r="B88" s="239"/>
      <c r="C88" s="39" t="s">
        <v>39</v>
      </c>
      <c r="D88" s="242">
        <f>SUMIF('1) Tableau budgétaire 1'!$K$275:$K$284,LEFT($C88,1),'1) Tableau budgétaire 1'!$D$275:$D$284)</f>
        <v>0</v>
      </c>
      <c r="E88" s="242">
        <f>SUMIF('1) Tableau budgétaire 1'!$K$275:$K$284,LEFT($C88,1),'1) Tableau budgétaire 1'!$E$275:$E$284)</f>
        <v>0</v>
      </c>
      <c r="F88" s="242">
        <f>SUMIF('1) Tableau budgétaire 1'!$K$275:$K$284,LEFT($C88,1),'1) Tableau budgétaire 1'!$F$275:$F$284)</f>
        <v>0</v>
      </c>
      <c r="G88" s="47">
        <f t="shared" si="15"/>
        <v>0</v>
      </c>
      <c r="H88" s="238"/>
      <c r="I88" s="238"/>
      <c r="J88" s="238"/>
      <c r="K88" s="238"/>
      <c r="L88" s="238"/>
      <c r="M88" s="238"/>
      <c r="N88" s="238"/>
    </row>
    <row r="89" spans="2:14" x14ac:dyDescent="0.3">
      <c r="B89" s="239"/>
      <c r="C89" s="38" t="s">
        <v>40</v>
      </c>
      <c r="D89" s="242">
        <f>SUMIF('1) Tableau budgétaire 1'!$K$275:$K$284,LEFT($C89,1),'1) Tableau budgétaire 1'!$D$275:$D$284)</f>
        <v>0</v>
      </c>
      <c r="E89" s="242">
        <f>SUMIF('1) Tableau budgétaire 1'!$K$275:$K$284,LEFT($C89,1),'1) Tableau budgétaire 1'!$E$275:$E$284)</f>
        <v>0</v>
      </c>
      <c r="F89" s="242">
        <f>SUMIF('1) Tableau budgétaire 1'!$K$275:$K$284,LEFT($C89,1),'1) Tableau budgétaire 1'!$F$275:$F$284)</f>
        <v>0</v>
      </c>
      <c r="G89" s="47">
        <f t="shared" si="15"/>
        <v>0</v>
      </c>
      <c r="H89" s="238"/>
      <c r="I89" s="238"/>
      <c r="J89" s="238"/>
      <c r="K89" s="238"/>
      <c r="L89" s="238"/>
      <c r="M89" s="238"/>
      <c r="N89" s="238"/>
    </row>
    <row r="90" spans="2:14" x14ac:dyDescent="0.3">
      <c r="B90" s="239"/>
      <c r="C90" s="38" t="s">
        <v>41</v>
      </c>
      <c r="D90" s="242">
        <f>SUMIF('1) Tableau budgétaire 1'!$K$275:$K$284,LEFT($C90,1),'1) Tableau budgétaire 1'!$D$275:$D$284)</f>
        <v>0</v>
      </c>
      <c r="E90" s="242">
        <f>SUMIF('1) Tableau budgétaire 1'!$K$275:$K$284,LEFT($C90,1),'1) Tableau budgétaire 1'!$E$275:$E$284)</f>
        <v>0</v>
      </c>
      <c r="F90" s="242">
        <f>SUMIF('1) Tableau budgétaire 1'!$K$275:$K$284,LEFT($C90,1),'1) Tableau budgétaire 1'!$F$275:$F$284)</f>
        <v>0</v>
      </c>
      <c r="G90" s="47">
        <f t="shared" si="15"/>
        <v>0</v>
      </c>
      <c r="H90" s="238"/>
      <c r="I90" s="238"/>
      <c r="J90" s="238"/>
      <c r="K90" s="238"/>
      <c r="L90" s="238"/>
      <c r="M90" s="238"/>
      <c r="N90" s="238"/>
    </row>
    <row r="91" spans="2:14" ht="31.2" x14ac:dyDescent="0.3">
      <c r="B91" s="238"/>
      <c r="C91" s="38" t="s">
        <v>42</v>
      </c>
      <c r="D91" s="242">
        <f>SUMIF('1) Tableau budgétaire 1'!$K$275:$K$284,LEFT($C91,1),'1) Tableau budgétaire 1'!$D$275:$D$284)</f>
        <v>0</v>
      </c>
      <c r="E91" s="242">
        <f>SUMIF('1) Tableau budgétaire 1'!$K$275:$K$284,LEFT($C91,1),'1) Tableau budgétaire 1'!$E$275:$E$284)</f>
        <v>0</v>
      </c>
      <c r="F91" s="242">
        <f>SUMIF('1) Tableau budgétaire 1'!$K$275:$K$284,LEFT($C91,1),'1) Tableau budgétaire 1'!$F$275:$F$284)</f>
        <v>0</v>
      </c>
      <c r="G91" s="47">
        <f t="shared" si="15"/>
        <v>0</v>
      </c>
      <c r="H91" s="238"/>
      <c r="I91" s="238"/>
      <c r="J91" s="238"/>
      <c r="K91" s="238"/>
      <c r="L91" s="238"/>
      <c r="M91" s="238"/>
      <c r="N91" s="238"/>
    </row>
    <row r="92" spans="2:14" x14ac:dyDescent="0.3">
      <c r="B92" s="238"/>
      <c r="C92" s="42" t="s">
        <v>129</v>
      </c>
      <c r="D92" s="53">
        <f t="shared" ref="D92:E92" si="16">SUM(D85:D91)</f>
        <v>0</v>
      </c>
      <c r="E92" s="53">
        <f t="shared" si="16"/>
        <v>0</v>
      </c>
      <c r="F92" s="53">
        <f t="shared" ref="F92" si="17">SUM(F85:F91)</f>
        <v>0</v>
      </c>
      <c r="G92" s="47">
        <f t="shared" si="15"/>
        <v>0</v>
      </c>
      <c r="H92" s="238"/>
      <c r="I92" s="238"/>
      <c r="J92" s="238"/>
      <c r="K92" s="238"/>
      <c r="L92" s="238"/>
      <c r="M92" s="238"/>
      <c r="N92" s="238"/>
    </row>
    <row r="93" spans="2:14" s="41" customFormat="1" x14ac:dyDescent="0.3">
      <c r="B93" s="239"/>
      <c r="C93" s="54"/>
      <c r="D93" s="55"/>
      <c r="E93" s="55"/>
      <c r="F93" s="55"/>
      <c r="G93" s="56"/>
      <c r="H93" s="239"/>
      <c r="I93" s="239"/>
      <c r="J93" s="239"/>
      <c r="K93" s="239"/>
      <c r="L93" s="239"/>
      <c r="M93" s="239"/>
      <c r="N93" s="239"/>
    </row>
    <row r="94" spans="2:14" ht="25.5" customHeight="1" x14ac:dyDescent="0.3">
      <c r="B94" s="238"/>
      <c r="C94" s="238"/>
      <c r="D94" s="243"/>
      <c r="E94" s="243"/>
      <c r="F94" s="243"/>
      <c r="G94" s="243"/>
      <c r="H94" s="238"/>
      <c r="I94" s="238"/>
      <c r="J94" s="238"/>
      <c r="K94" s="238"/>
      <c r="L94" s="238"/>
      <c r="M94" s="238"/>
      <c r="N94" s="238"/>
    </row>
    <row r="95" spans="2:14" x14ac:dyDescent="0.3">
      <c r="B95" s="527" t="s">
        <v>140</v>
      </c>
      <c r="C95" s="528"/>
      <c r="D95" s="528"/>
      <c r="E95" s="528"/>
      <c r="F95" s="528"/>
      <c r="G95" s="529"/>
      <c r="H95" s="238"/>
      <c r="I95" s="238"/>
      <c r="J95" s="238"/>
      <c r="K95" s="238"/>
      <c r="L95" s="238"/>
      <c r="M95" s="238"/>
      <c r="N95" s="238"/>
    </row>
    <row r="96" spans="2:14" x14ac:dyDescent="0.3">
      <c r="B96" s="238"/>
      <c r="C96" s="527" t="s">
        <v>81</v>
      </c>
      <c r="D96" s="528"/>
      <c r="E96" s="528"/>
      <c r="F96" s="528"/>
      <c r="G96" s="529"/>
      <c r="H96" s="238"/>
      <c r="I96" s="238"/>
      <c r="J96" s="238"/>
      <c r="K96" s="238"/>
      <c r="L96" s="238"/>
      <c r="M96" s="238"/>
      <c r="N96" s="238"/>
    </row>
    <row r="97" spans="3:14" ht="22.5" customHeight="1" thickBot="1" x14ac:dyDescent="0.35">
      <c r="C97" s="50" t="s">
        <v>141</v>
      </c>
      <c r="D97" s="51">
        <f>'1) Tableau budgétaire 1'!D304</f>
        <v>205000</v>
      </c>
      <c r="E97" s="51">
        <f>'1) Tableau budgétaire 1'!E304</f>
        <v>0</v>
      </c>
      <c r="F97" s="51">
        <f>'1) Tableau budgétaire 1'!F304</f>
        <v>0</v>
      </c>
      <c r="G97" s="52">
        <f>SUM(D97:F97)</f>
        <v>205000</v>
      </c>
      <c r="H97" s="238"/>
      <c r="I97" s="238"/>
      <c r="J97" s="238"/>
      <c r="K97" s="238"/>
      <c r="L97" s="238"/>
      <c r="M97" s="238"/>
      <c r="N97" s="238"/>
    </row>
    <row r="98" spans="3:14" x14ac:dyDescent="0.3">
      <c r="C98" s="48" t="s">
        <v>36</v>
      </c>
      <c r="D98" s="242">
        <f>SUMIF('1) Tableau budgétaire 1'!$K$289:$K$303,LEFT($C98,1),'1) Tableau budgétaire 1'!$D$289:$D$303)</f>
        <v>0</v>
      </c>
      <c r="E98" s="242">
        <f>SUMIF('1) Tableau budgétaire 1'!$K$289:$K$303,LEFT($C98,1),'1) Tableau budgétaire 1'!$E$289:$E$303)</f>
        <v>0</v>
      </c>
      <c r="F98" s="242">
        <f>SUMIF('1) Tableau budgétaire 1'!$K$289:$K$299,LEFT($C98,1),'1) Tableau budgétaire 1'!$F$289:$F$299)</f>
        <v>0</v>
      </c>
      <c r="G98" s="49">
        <f t="shared" ref="G98:G105" si="18">SUM(D98:F98)</f>
        <v>0</v>
      </c>
      <c r="H98" s="238"/>
      <c r="I98" s="238"/>
      <c r="J98" s="238"/>
      <c r="K98" s="238"/>
      <c r="L98" s="238"/>
      <c r="M98" s="238"/>
      <c r="N98" s="238"/>
    </row>
    <row r="99" spans="3:14" x14ac:dyDescent="0.3">
      <c r="C99" s="38" t="s">
        <v>37</v>
      </c>
      <c r="D99" s="242">
        <f>SUMIF('1) Tableau budgétaire 1'!$K$289:$K$303,LEFT($C99,1),'1) Tableau budgétaire 1'!$D$289:$D$303)</f>
        <v>40000</v>
      </c>
      <c r="E99" s="242">
        <f>SUMIF('1) Tableau budgétaire 1'!$K$289:$K$303,LEFT($C99,1),'1) Tableau budgétaire 1'!$E$289:$E$303)</f>
        <v>0</v>
      </c>
      <c r="F99" s="242">
        <f>SUMIF('1) Tableau budgétaire 1'!$K$289:$K$299,LEFT($C99,1),'1) Tableau budgétaire 1'!$F$289:$F$299)</f>
        <v>0</v>
      </c>
      <c r="G99" s="47">
        <f t="shared" si="18"/>
        <v>40000</v>
      </c>
      <c r="H99" s="238"/>
      <c r="I99" s="238"/>
      <c r="J99" s="238"/>
      <c r="K99" s="238"/>
      <c r="L99" s="238"/>
      <c r="M99" s="238"/>
      <c r="N99" s="238"/>
    </row>
    <row r="100" spans="3:14" ht="15.75" customHeight="1" x14ac:dyDescent="0.3">
      <c r="C100" s="38" t="s">
        <v>38</v>
      </c>
      <c r="D100" s="242">
        <f>SUMIF('1) Tableau budgétaire 1'!$K$289:$K$303,LEFT($C100,1),'1) Tableau budgétaire 1'!$D$289:$D$303)</f>
        <v>0</v>
      </c>
      <c r="E100" s="242">
        <f>SUMIF('1) Tableau budgétaire 1'!$K$289:$K$303,LEFT($C100,1),'1) Tableau budgétaire 1'!$E$289:$E$303)</f>
        <v>0</v>
      </c>
      <c r="F100" s="242">
        <f>SUMIF('1) Tableau budgétaire 1'!$K$289:$K$299,LEFT($C100,1),'1) Tableau budgétaire 1'!$F$289:$F$299)</f>
        <v>0</v>
      </c>
      <c r="G100" s="47">
        <f t="shared" si="18"/>
        <v>0</v>
      </c>
      <c r="H100" s="238"/>
      <c r="I100" s="238"/>
      <c r="J100" s="238"/>
      <c r="K100" s="238"/>
      <c r="L100" s="238"/>
      <c r="M100" s="238"/>
      <c r="N100" s="238"/>
    </row>
    <row r="101" spans="3:14" x14ac:dyDescent="0.3">
      <c r="C101" s="39" t="s">
        <v>39</v>
      </c>
      <c r="D101" s="242">
        <f>SUMIF('1) Tableau budgétaire 1'!$K$289:$K$303,LEFT($C101,1),'1) Tableau budgétaire 1'!$D$289:$D$303)</f>
        <v>150000</v>
      </c>
      <c r="E101" s="242">
        <f>SUMIF('1) Tableau budgétaire 1'!$K$289:$K$303,LEFT($C101,1),'1) Tableau budgétaire 1'!$E$289:$E$303)</f>
        <v>0</v>
      </c>
      <c r="F101" s="242">
        <f>SUMIF('1) Tableau budgétaire 1'!$K$289:$K$299,LEFT($C101,1),'1) Tableau budgétaire 1'!$F$289:$F$299)</f>
        <v>0</v>
      </c>
      <c r="G101" s="47">
        <f t="shared" si="18"/>
        <v>150000</v>
      </c>
      <c r="H101" s="238"/>
      <c r="I101" s="238"/>
      <c r="J101" s="238"/>
      <c r="K101" s="238"/>
      <c r="L101" s="238"/>
      <c r="M101" s="238"/>
      <c r="N101" s="238"/>
    </row>
    <row r="102" spans="3:14" x14ac:dyDescent="0.3">
      <c r="C102" s="38" t="s">
        <v>40</v>
      </c>
      <c r="D102" s="242">
        <f>SUMIF('1) Tableau budgétaire 1'!$K$289:$K$303,LEFT($C102,1),'1) Tableau budgétaire 1'!$D$289:$D$303)</f>
        <v>15000</v>
      </c>
      <c r="E102" s="242">
        <f>SUMIF('1) Tableau budgétaire 1'!$K$289:$K$303,LEFT($C102,1),'1) Tableau budgétaire 1'!$E$289:$E$303)</f>
        <v>0</v>
      </c>
      <c r="F102" s="242">
        <f>SUMIF('1) Tableau budgétaire 1'!$K$289:$K$299,LEFT($C102,1),'1) Tableau budgétaire 1'!$F$289:$F$299)</f>
        <v>0</v>
      </c>
      <c r="G102" s="47">
        <f t="shared" si="18"/>
        <v>15000</v>
      </c>
      <c r="H102" s="238"/>
      <c r="I102" s="238"/>
      <c r="J102" s="238"/>
      <c r="K102" s="238"/>
      <c r="L102" s="238"/>
      <c r="M102" s="238"/>
      <c r="N102" s="238"/>
    </row>
    <row r="103" spans="3:14" x14ac:dyDescent="0.3">
      <c r="C103" s="38" t="s">
        <v>41</v>
      </c>
      <c r="D103" s="242">
        <f>SUMIF('1) Tableau budgétaire 1'!$K$289:$K$303,LEFT($C103,1),'1) Tableau budgétaire 1'!$D$289:$D$303)</f>
        <v>0</v>
      </c>
      <c r="E103" s="242">
        <f>SUMIF('1) Tableau budgétaire 1'!$K$289:$K$303,LEFT($C103,1),'1) Tableau budgétaire 1'!$E$289:$E$303)</f>
        <v>0</v>
      </c>
      <c r="F103" s="242">
        <f>SUMIF('1) Tableau budgétaire 1'!$K$289:$K$299,LEFT($C103,1),'1) Tableau budgétaire 1'!$F$289:$F$299)</f>
        <v>0</v>
      </c>
      <c r="G103" s="47">
        <f t="shared" si="18"/>
        <v>0</v>
      </c>
      <c r="H103" s="238"/>
      <c r="I103" s="238"/>
      <c r="J103" s="238"/>
      <c r="K103" s="238"/>
      <c r="L103" s="238"/>
      <c r="M103" s="238"/>
      <c r="N103" s="238"/>
    </row>
    <row r="104" spans="3:14" ht="31.2" x14ac:dyDescent="0.3">
      <c r="C104" s="38" t="s">
        <v>42</v>
      </c>
      <c r="D104" s="242">
        <f>SUMIF('1) Tableau budgétaire 1'!$K$289:$K$303,LEFT($C104,1),'1) Tableau budgétaire 1'!$D$289:$D$303)</f>
        <v>0</v>
      </c>
      <c r="E104" s="242">
        <f>SUMIF('1) Tableau budgétaire 1'!$K$289:$K$303,LEFT($C104,1),'1) Tableau budgétaire 1'!$E$289:$E$303)</f>
        <v>0</v>
      </c>
      <c r="F104" s="242">
        <f>SUMIF('1) Tableau budgétaire 1'!$K$289:$K$299,LEFT($C104,1),'1) Tableau budgétaire 1'!$F$289:$F$299)</f>
        <v>0</v>
      </c>
      <c r="G104" s="47">
        <f t="shared" si="18"/>
        <v>0</v>
      </c>
      <c r="H104" s="238"/>
      <c r="I104" s="238"/>
      <c r="J104" s="238"/>
      <c r="K104" s="238"/>
      <c r="L104" s="238"/>
      <c r="M104" s="238"/>
      <c r="N104" s="238"/>
    </row>
    <row r="105" spans="3:14" x14ac:dyDescent="0.3">
      <c r="C105" s="42" t="s">
        <v>129</v>
      </c>
      <c r="D105" s="53">
        <f>SUM(D98:D104)</f>
        <v>205000</v>
      </c>
      <c r="E105" s="53">
        <f>SUM(E98:E104)</f>
        <v>0</v>
      </c>
      <c r="F105" s="53">
        <f t="shared" ref="F105" si="19">SUM(F98:F104)</f>
        <v>0</v>
      </c>
      <c r="G105" s="47">
        <f t="shared" si="18"/>
        <v>205000</v>
      </c>
      <c r="H105" s="238"/>
      <c r="I105" s="238"/>
      <c r="J105" s="238"/>
      <c r="K105" s="238"/>
      <c r="L105" s="238"/>
      <c r="M105" s="238"/>
      <c r="N105" s="238"/>
    </row>
    <row r="106" spans="3:14" s="41" customFormat="1" x14ac:dyDescent="0.3">
      <c r="C106" s="54"/>
      <c r="D106" s="55"/>
      <c r="E106" s="55"/>
      <c r="F106" s="55"/>
      <c r="G106" s="56"/>
      <c r="H106" s="239"/>
      <c r="I106" s="239"/>
      <c r="J106" s="239"/>
      <c r="K106" s="239"/>
      <c r="L106" s="239"/>
      <c r="M106" s="239"/>
      <c r="N106" s="239"/>
    </row>
    <row r="107" spans="3:14" ht="15.75" customHeight="1" x14ac:dyDescent="0.3">
      <c r="C107" s="527" t="s">
        <v>16</v>
      </c>
      <c r="D107" s="528"/>
      <c r="E107" s="528"/>
      <c r="F107" s="528"/>
      <c r="G107" s="529"/>
      <c r="H107" s="238"/>
      <c r="I107" s="238"/>
      <c r="J107" s="238"/>
      <c r="K107" s="238"/>
      <c r="L107" s="238"/>
      <c r="M107" s="238"/>
      <c r="N107" s="238"/>
    </row>
    <row r="108" spans="3:14" ht="21.75" customHeight="1" thickBot="1" x14ac:dyDescent="0.35">
      <c r="C108" s="50" t="s">
        <v>142</v>
      </c>
      <c r="D108" s="51">
        <f>'1) Tableau budgétaire 1'!D323</f>
        <v>150000</v>
      </c>
      <c r="E108" s="51">
        <f>'1) Tableau budgétaire 1'!E323</f>
        <v>166120</v>
      </c>
      <c r="F108" s="51">
        <f>'1) Tableau budgétaire 1'!F323</f>
        <v>0</v>
      </c>
      <c r="G108" s="52">
        <f t="shared" ref="G108:G116" si="20">SUM(D108:F108)</f>
        <v>316120</v>
      </c>
      <c r="H108" s="238"/>
      <c r="I108" s="238"/>
      <c r="J108" s="238"/>
      <c r="K108" s="238"/>
      <c r="L108" s="238"/>
      <c r="M108" s="238"/>
      <c r="N108" s="238"/>
    </row>
    <row r="109" spans="3:14" x14ac:dyDescent="0.3">
      <c r="C109" s="48" t="s">
        <v>36</v>
      </c>
      <c r="D109" s="242">
        <f>SUMIF('1) Tableau budgétaire 1'!$K$306:$K$322,LEFT($C109,1),'1) Tableau budgétaire 1'!$D$306:$D$322)</f>
        <v>0</v>
      </c>
      <c r="E109" s="242">
        <f>SUMIF('1) Tableau budgétaire 1'!$K$306:$K$322,LEFT($C109,1),'1) Tableau budgétaire 1'!$E$306:$E$322)</f>
        <v>0</v>
      </c>
      <c r="F109" s="242">
        <f>SUMIF('1) Tableau budgétaire 1'!$K$306:$K$322,LEFT($C109,1),'1) Tableau budgétaire 1'!$F$306:$F$322)</f>
        <v>0</v>
      </c>
      <c r="G109" s="49">
        <f t="shared" si="20"/>
        <v>0</v>
      </c>
      <c r="H109" s="238"/>
      <c r="I109" s="238"/>
      <c r="J109" s="238"/>
      <c r="K109" s="238"/>
      <c r="L109" s="238"/>
      <c r="M109" s="238"/>
      <c r="N109" s="238"/>
    </row>
    <row r="110" spans="3:14" x14ac:dyDescent="0.3">
      <c r="C110" s="38" t="s">
        <v>37</v>
      </c>
      <c r="D110" s="242">
        <f>SUMIF('1) Tableau budgétaire 1'!$K$306:$K$322,LEFT($C110,1),'1) Tableau budgétaire 1'!$D$306:$D$322)</f>
        <v>0</v>
      </c>
      <c r="E110" s="242">
        <f>SUMIF('1) Tableau budgétaire 1'!$K$306:$K$322,LEFT($C110,1),'1) Tableau budgétaire 1'!$E$306:$E$322)</f>
        <v>4710</v>
      </c>
      <c r="F110" s="242">
        <f>SUMIF('1) Tableau budgétaire 1'!$K$306:$K$322,LEFT($C110,1),'1) Tableau budgétaire 1'!$F$306:$F$322)</f>
        <v>0</v>
      </c>
      <c r="G110" s="47">
        <f t="shared" si="20"/>
        <v>4710</v>
      </c>
      <c r="H110" s="238"/>
      <c r="I110" s="238"/>
      <c r="J110" s="238"/>
      <c r="K110" s="238"/>
      <c r="L110" s="238"/>
      <c r="M110" s="238"/>
      <c r="N110" s="238"/>
    </row>
    <row r="111" spans="3:14" ht="31.2" x14ac:dyDescent="0.3">
      <c r="C111" s="38" t="s">
        <v>38</v>
      </c>
      <c r="D111" s="242">
        <f>SUMIF('1) Tableau budgétaire 1'!$K$306:$K$322,LEFT($C111,1),'1) Tableau budgétaire 1'!$D$306:$D$322)</f>
        <v>0</v>
      </c>
      <c r="E111" s="242">
        <f>SUMIF('1) Tableau budgétaire 1'!$K$306:$K$322,LEFT($C111,1),'1) Tableau budgétaire 1'!$E$306:$E$322)</f>
        <v>0</v>
      </c>
      <c r="F111" s="242">
        <f>SUMIF('1) Tableau budgétaire 1'!$K$306:$K$322,LEFT($C111,1),'1) Tableau budgétaire 1'!$F$306:$F$322)</f>
        <v>0</v>
      </c>
      <c r="G111" s="47">
        <f t="shared" si="20"/>
        <v>0</v>
      </c>
      <c r="H111" s="238"/>
      <c r="I111" s="238"/>
      <c r="J111" s="238"/>
      <c r="K111" s="238"/>
      <c r="L111" s="238"/>
      <c r="M111" s="238"/>
      <c r="N111" s="238"/>
    </row>
    <row r="112" spans="3:14" x14ac:dyDescent="0.3">
      <c r="C112" s="39" t="s">
        <v>39</v>
      </c>
      <c r="D112" s="242">
        <f>SUMIF('1) Tableau budgétaire 1'!$K$306:$K$322,LEFT($C112,1),'1) Tableau budgétaire 1'!$D$306:$D$322)</f>
        <v>130000</v>
      </c>
      <c r="E112" s="242">
        <f>SUMIF('1) Tableau budgétaire 1'!$K$306:$K$322,LEFT($C112,1),'1) Tableau budgétaire 1'!$E$306:$E$322)</f>
        <v>131410</v>
      </c>
      <c r="F112" s="242">
        <f>SUMIF('1) Tableau budgétaire 1'!$K$306:$K$322,LEFT($C112,1),'1) Tableau budgétaire 1'!$F$306:$F$322)</f>
        <v>0</v>
      </c>
      <c r="G112" s="47">
        <f t="shared" si="20"/>
        <v>261410</v>
      </c>
      <c r="H112" s="238"/>
      <c r="I112" s="238"/>
      <c r="J112" s="238"/>
      <c r="K112" s="238"/>
      <c r="L112" s="238"/>
      <c r="M112" s="238"/>
      <c r="N112" s="238"/>
    </row>
    <row r="113" spans="3:14" x14ac:dyDescent="0.3">
      <c r="C113" s="38" t="s">
        <v>40</v>
      </c>
      <c r="D113" s="242">
        <f>SUMIF('1) Tableau budgétaire 1'!$K$306:$K$322,LEFT($C113,1),'1) Tableau budgétaire 1'!$D$306:$D$322)</f>
        <v>20000</v>
      </c>
      <c r="E113" s="242">
        <f>SUMIF('1) Tableau budgétaire 1'!$K$306:$K$322,LEFT($C113,1),'1) Tableau budgétaire 1'!$E$306:$E$322)</f>
        <v>30000</v>
      </c>
      <c r="F113" s="242">
        <f>SUMIF('1) Tableau budgétaire 1'!$K$306:$K$322,LEFT($C113,1),'1) Tableau budgétaire 1'!$F$306:$F$322)</f>
        <v>0</v>
      </c>
      <c r="G113" s="47">
        <f t="shared" si="20"/>
        <v>50000</v>
      </c>
      <c r="H113" s="238"/>
      <c r="I113" s="238"/>
      <c r="J113" s="238"/>
      <c r="K113" s="238"/>
      <c r="L113" s="238"/>
      <c r="M113" s="238"/>
      <c r="N113" s="238"/>
    </row>
    <row r="114" spans="3:14" x14ac:dyDescent="0.3">
      <c r="C114" s="38" t="s">
        <v>41</v>
      </c>
      <c r="D114" s="242">
        <f>SUMIF('1) Tableau budgétaire 1'!$K$306:$K$322,LEFT($C114,1),'1) Tableau budgétaire 1'!$D$306:$D$322)</f>
        <v>0</v>
      </c>
      <c r="E114" s="242">
        <f>SUMIF('1) Tableau budgétaire 1'!$K$306:$K$322,LEFT($C114,1),'1) Tableau budgétaire 1'!$E$306:$E$322)</f>
        <v>0</v>
      </c>
      <c r="F114" s="242">
        <f>SUMIF('1) Tableau budgétaire 1'!$K$306:$K$322,LEFT($C114,1),'1) Tableau budgétaire 1'!$F$306:$F$322)</f>
        <v>0</v>
      </c>
      <c r="G114" s="47">
        <f t="shared" si="20"/>
        <v>0</v>
      </c>
      <c r="H114" s="238"/>
      <c r="I114" s="238"/>
      <c r="J114" s="238"/>
      <c r="K114" s="238"/>
      <c r="L114" s="238"/>
      <c r="M114" s="238"/>
      <c r="N114" s="238"/>
    </row>
    <row r="115" spans="3:14" ht="31.2" x14ac:dyDescent="0.3">
      <c r="C115" s="38" t="s">
        <v>42</v>
      </c>
      <c r="D115" s="242">
        <f>SUMIF('1) Tableau budgétaire 1'!$K$306:$K$322,LEFT($C115,1),'1) Tableau budgétaire 1'!$D$306:$D$322)</f>
        <v>0</v>
      </c>
      <c r="E115" s="242">
        <f>SUMIF('1) Tableau budgétaire 1'!$K$306:$K$322,LEFT($C115,1),'1) Tableau budgétaire 1'!$E$306:$E$322)</f>
        <v>0</v>
      </c>
      <c r="F115" s="242">
        <f>SUMIF('1) Tableau budgétaire 1'!$K$306:$K$322,LEFT($C115,1),'1) Tableau budgétaire 1'!$F$306:$F$322)</f>
        <v>0</v>
      </c>
      <c r="G115" s="47">
        <f t="shared" si="20"/>
        <v>0</v>
      </c>
      <c r="H115" s="238"/>
      <c r="I115" s="238"/>
      <c r="J115" s="238"/>
      <c r="K115" s="238"/>
      <c r="L115" s="238"/>
      <c r="M115" s="238"/>
      <c r="N115" s="238"/>
    </row>
    <row r="116" spans="3:14" x14ac:dyDescent="0.3">
      <c r="C116" s="42" t="s">
        <v>129</v>
      </c>
      <c r="D116" s="53">
        <f t="shared" ref="D116:E116" si="21">SUM(D109:D115)</f>
        <v>150000</v>
      </c>
      <c r="E116" s="53">
        <f t="shared" si="21"/>
        <v>166120</v>
      </c>
      <c r="F116" s="53">
        <f t="shared" ref="F116" si="22">SUM(F109:F115)</f>
        <v>0</v>
      </c>
      <c r="G116" s="47">
        <f t="shared" si="20"/>
        <v>316120</v>
      </c>
      <c r="H116" s="238"/>
      <c r="I116" s="238"/>
      <c r="J116" s="238"/>
      <c r="K116" s="238"/>
      <c r="L116" s="238"/>
      <c r="M116" s="238"/>
      <c r="N116" s="238"/>
    </row>
    <row r="117" spans="3:14" s="41" customFormat="1" x14ac:dyDescent="0.3">
      <c r="C117" s="54"/>
      <c r="D117" s="55"/>
      <c r="E117" s="55"/>
      <c r="F117" s="55"/>
      <c r="G117" s="56"/>
      <c r="H117" s="239"/>
      <c r="I117" s="239"/>
      <c r="J117" s="239"/>
      <c r="K117" s="239"/>
      <c r="L117" s="239"/>
      <c r="M117" s="239"/>
      <c r="N117" s="239"/>
    </row>
    <row r="118" spans="3:14" x14ac:dyDescent="0.3">
      <c r="C118" s="527" t="s">
        <v>17</v>
      </c>
      <c r="D118" s="528"/>
      <c r="E118" s="528"/>
      <c r="F118" s="528"/>
      <c r="G118" s="529"/>
      <c r="H118" s="238"/>
      <c r="I118" s="238"/>
      <c r="J118" s="238"/>
      <c r="K118" s="238"/>
      <c r="L118" s="238"/>
      <c r="M118" s="238"/>
      <c r="N118" s="238"/>
    </row>
    <row r="119" spans="3:14" ht="21" customHeight="1" thickBot="1" x14ac:dyDescent="0.35">
      <c r="C119" s="50" t="s">
        <v>143</v>
      </c>
      <c r="D119" s="51">
        <f>'1) Tableau budgétaire 1'!D335</f>
        <v>0</v>
      </c>
      <c r="E119" s="51">
        <f>'1) Tableau budgétaire 1'!E335</f>
        <v>0</v>
      </c>
      <c r="F119" s="51">
        <f>'1) Tableau budgétaire 1'!F335</f>
        <v>0</v>
      </c>
      <c r="G119" s="52">
        <f t="shared" ref="G119:G127" si="23">SUM(D119:F119)</f>
        <v>0</v>
      </c>
      <c r="H119" s="238"/>
      <c r="I119" s="238"/>
      <c r="J119" s="238"/>
      <c r="K119" s="238"/>
      <c r="L119" s="238"/>
      <c r="M119" s="238"/>
      <c r="N119" s="238"/>
    </row>
    <row r="120" spans="3:14" x14ac:dyDescent="0.3">
      <c r="C120" s="48" t="s">
        <v>36</v>
      </c>
      <c r="D120" s="242">
        <f>SUMIF('1) Tableau budgétaire 1'!$K$325:$K$334,LEFT($C120,1),'1) Tableau budgétaire 1'!$D$325:$D$334)</f>
        <v>0</v>
      </c>
      <c r="E120" s="242">
        <f>SUMIF('1) Tableau budgétaire 1'!$K$325:$K$334,LEFT($C120,1),'1) Tableau budgétaire 1'!$E$325:$E$334)</f>
        <v>0</v>
      </c>
      <c r="F120" s="242">
        <f>SUMIF('1) Tableau budgétaire 1'!$K$325:$K$334,LEFT($C120,1),'1) Tableau budgétaire 1'!$F$325:$F$334)</f>
        <v>0</v>
      </c>
      <c r="G120" s="49">
        <f t="shared" si="23"/>
        <v>0</v>
      </c>
      <c r="H120" s="238"/>
      <c r="I120" s="238"/>
      <c r="J120" s="238"/>
      <c r="K120" s="238"/>
      <c r="L120" s="238"/>
      <c r="M120" s="238"/>
      <c r="N120" s="238"/>
    </row>
    <row r="121" spans="3:14" x14ac:dyDescent="0.3">
      <c r="C121" s="38" t="s">
        <v>37</v>
      </c>
      <c r="D121" s="242">
        <f>SUMIF('1) Tableau budgétaire 1'!$K$325:$K$334,LEFT($C121,1),'1) Tableau budgétaire 1'!$D$325:$D$334)</f>
        <v>0</v>
      </c>
      <c r="E121" s="242">
        <f>SUMIF('1) Tableau budgétaire 1'!$K$325:$K$334,LEFT($C121,1),'1) Tableau budgétaire 1'!$E$325:$E$334)</f>
        <v>0</v>
      </c>
      <c r="F121" s="242">
        <f>SUMIF('1) Tableau budgétaire 1'!$K$325:$K$334,LEFT($C121,1),'1) Tableau budgétaire 1'!$F$325:$F$334)</f>
        <v>0</v>
      </c>
      <c r="G121" s="47">
        <f t="shared" si="23"/>
        <v>0</v>
      </c>
      <c r="H121" s="238"/>
      <c r="I121" s="238"/>
      <c r="J121" s="238"/>
      <c r="K121" s="238"/>
      <c r="L121" s="238"/>
      <c r="M121" s="238"/>
      <c r="N121" s="238"/>
    </row>
    <row r="122" spans="3:14" ht="31.2" x14ac:dyDescent="0.3">
      <c r="C122" s="38" t="s">
        <v>38</v>
      </c>
      <c r="D122" s="242">
        <f>SUMIF('1) Tableau budgétaire 1'!$K$325:$K$334,LEFT($C122,1),'1) Tableau budgétaire 1'!$D$325:$D$334)</f>
        <v>0</v>
      </c>
      <c r="E122" s="242">
        <f>SUMIF('1) Tableau budgétaire 1'!$K$325:$K$334,LEFT($C122,1),'1) Tableau budgétaire 1'!$E$325:$E$334)</f>
        <v>0</v>
      </c>
      <c r="F122" s="242">
        <f>SUMIF('1) Tableau budgétaire 1'!$K$325:$K$334,LEFT($C122,1),'1) Tableau budgétaire 1'!$F$325:$F$334)</f>
        <v>0</v>
      </c>
      <c r="G122" s="47">
        <f t="shared" si="23"/>
        <v>0</v>
      </c>
      <c r="H122" s="238"/>
      <c r="I122" s="238"/>
      <c r="J122" s="238"/>
      <c r="K122" s="238"/>
      <c r="L122" s="238"/>
      <c r="M122" s="238"/>
      <c r="N122" s="238"/>
    </row>
    <row r="123" spans="3:14" x14ac:dyDescent="0.3">
      <c r="C123" s="39" t="s">
        <v>39</v>
      </c>
      <c r="D123" s="242">
        <f>SUMIF('1) Tableau budgétaire 1'!$K$325:$K$334,LEFT($C123,1),'1) Tableau budgétaire 1'!$D$325:$D$334)</f>
        <v>0</v>
      </c>
      <c r="E123" s="242">
        <f>SUMIF('1) Tableau budgétaire 1'!$K$325:$K$334,LEFT($C123,1),'1) Tableau budgétaire 1'!$E$325:$E$334)</f>
        <v>0</v>
      </c>
      <c r="F123" s="242">
        <f>SUMIF('1) Tableau budgétaire 1'!$K$325:$K$334,LEFT($C123,1),'1) Tableau budgétaire 1'!$F$325:$F$334)</f>
        <v>0</v>
      </c>
      <c r="G123" s="47">
        <f t="shared" si="23"/>
        <v>0</v>
      </c>
      <c r="H123" s="238"/>
      <c r="I123" s="238"/>
      <c r="J123" s="238"/>
      <c r="K123" s="238"/>
      <c r="L123" s="238"/>
      <c r="M123" s="238"/>
      <c r="N123" s="238"/>
    </row>
    <row r="124" spans="3:14" x14ac:dyDescent="0.3">
      <c r="C124" s="38" t="s">
        <v>40</v>
      </c>
      <c r="D124" s="242">
        <f>SUMIF('1) Tableau budgétaire 1'!$K$325:$K$334,LEFT($C124,1),'1) Tableau budgétaire 1'!$D$325:$D$334)</f>
        <v>0</v>
      </c>
      <c r="E124" s="242">
        <f>SUMIF('1) Tableau budgétaire 1'!$K$325:$K$334,LEFT($C124,1),'1) Tableau budgétaire 1'!$E$325:$E$334)</f>
        <v>0</v>
      </c>
      <c r="F124" s="242">
        <f>SUMIF('1) Tableau budgétaire 1'!$K$325:$K$334,LEFT($C124,1),'1) Tableau budgétaire 1'!$F$325:$F$334)</f>
        <v>0</v>
      </c>
      <c r="G124" s="47">
        <f t="shared" si="23"/>
        <v>0</v>
      </c>
      <c r="H124" s="238"/>
      <c r="I124" s="238"/>
      <c r="J124" s="238"/>
      <c r="K124" s="238"/>
      <c r="L124" s="238"/>
      <c r="M124" s="238"/>
      <c r="N124" s="238"/>
    </row>
    <row r="125" spans="3:14" x14ac:dyDescent="0.3">
      <c r="C125" s="38" t="s">
        <v>41</v>
      </c>
      <c r="D125" s="242">
        <f>SUMIF('1) Tableau budgétaire 1'!$K$325:$K$334,LEFT($C125,1),'1) Tableau budgétaire 1'!$D$325:$D$334)</f>
        <v>0</v>
      </c>
      <c r="E125" s="242">
        <f>SUMIF('1) Tableau budgétaire 1'!$K$325:$K$334,LEFT($C125,1),'1) Tableau budgétaire 1'!$E$325:$E$334)</f>
        <v>0</v>
      </c>
      <c r="F125" s="242">
        <f>SUMIF('1) Tableau budgétaire 1'!$K$325:$K$334,LEFT($C125,1),'1) Tableau budgétaire 1'!$F$325:$F$334)</f>
        <v>0</v>
      </c>
      <c r="G125" s="47">
        <f t="shared" si="23"/>
        <v>0</v>
      </c>
      <c r="H125" s="238"/>
      <c r="I125" s="238"/>
      <c r="J125" s="238"/>
      <c r="K125" s="238"/>
      <c r="L125" s="238"/>
      <c r="M125" s="238"/>
      <c r="N125" s="238"/>
    </row>
    <row r="126" spans="3:14" ht="31.2" x14ac:dyDescent="0.3">
      <c r="C126" s="38" t="s">
        <v>42</v>
      </c>
      <c r="D126" s="242">
        <f>SUMIF('1) Tableau budgétaire 1'!$K$325:$K$334,LEFT($C126,1),'1) Tableau budgétaire 1'!$D$325:$D$334)</f>
        <v>0</v>
      </c>
      <c r="E126" s="242">
        <f>SUMIF('1) Tableau budgétaire 1'!$K$325:$K$334,LEFT($C126,1),'1) Tableau budgétaire 1'!$E$325:$E$334)</f>
        <v>0</v>
      </c>
      <c r="F126" s="242">
        <f>SUMIF('1) Tableau budgétaire 1'!$K$325:$K$334,LEFT($C126,1),'1) Tableau budgétaire 1'!$F$325:$F$334)</f>
        <v>0</v>
      </c>
      <c r="G126" s="47">
        <f t="shared" si="23"/>
        <v>0</v>
      </c>
      <c r="H126" s="238"/>
      <c r="I126" s="238"/>
      <c r="J126" s="238"/>
      <c r="K126" s="238"/>
      <c r="L126" s="238"/>
      <c r="M126" s="238"/>
      <c r="N126" s="238"/>
    </row>
    <row r="127" spans="3:14" x14ac:dyDescent="0.3">
      <c r="C127" s="42" t="s">
        <v>129</v>
      </c>
      <c r="D127" s="53">
        <f t="shared" ref="D127:E127" si="24">SUM(D120:D126)</f>
        <v>0</v>
      </c>
      <c r="E127" s="53">
        <f t="shared" si="24"/>
        <v>0</v>
      </c>
      <c r="F127" s="53">
        <f t="shared" ref="F127" si="25">SUM(F120:F126)</f>
        <v>0</v>
      </c>
      <c r="G127" s="47">
        <f t="shared" si="23"/>
        <v>0</v>
      </c>
      <c r="H127" s="238"/>
      <c r="I127" s="238"/>
      <c r="J127" s="238"/>
      <c r="K127" s="238"/>
      <c r="L127" s="238"/>
      <c r="M127" s="238"/>
      <c r="N127" s="238"/>
    </row>
    <row r="128" spans="3:14" s="41" customFormat="1" x14ac:dyDescent="0.3">
      <c r="C128" s="54"/>
      <c r="D128" s="55"/>
      <c r="E128" s="55"/>
      <c r="F128" s="55"/>
      <c r="G128" s="56"/>
      <c r="H128" s="239"/>
      <c r="I128" s="239"/>
      <c r="J128" s="239"/>
      <c r="K128" s="239"/>
      <c r="L128" s="239"/>
      <c r="M128" s="239"/>
      <c r="N128" s="239"/>
    </row>
    <row r="129" spans="2:7" s="43" customFormat="1" x14ac:dyDescent="0.3">
      <c r="B129" s="243"/>
      <c r="C129" s="238"/>
      <c r="D129" s="239"/>
      <c r="E129" s="239"/>
      <c r="F129" s="239"/>
      <c r="G129" s="238"/>
    </row>
    <row r="130" spans="2:7" s="43" customFormat="1" x14ac:dyDescent="0.3">
      <c r="B130" s="527" t="s">
        <v>144</v>
      </c>
      <c r="C130" s="528"/>
      <c r="D130" s="528"/>
      <c r="E130" s="528"/>
      <c r="F130" s="528"/>
      <c r="G130" s="529"/>
    </row>
    <row r="131" spans="2:7" s="43" customFormat="1" x14ac:dyDescent="0.3">
      <c r="B131" s="238"/>
      <c r="C131" s="527" t="s">
        <v>18</v>
      </c>
      <c r="D131" s="528"/>
      <c r="E131" s="528"/>
      <c r="F131" s="528"/>
      <c r="G131" s="529"/>
    </row>
    <row r="132" spans="2:7" s="43" customFormat="1" ht="24" customHeight="1" thickBot="1" x14ac:dyDescent="0.35">
      <c r="B132" s="238"/>
      <c r="C132" s="50" t="s">
        <v>145</v>
      </c>
      <c r="D132" s="51">
        <f>'1) Tableau budgétaire 1'!D364</f>
        <v>0</v>
      </c>
      <c r="E132" s="51">
        <f>'1) Tableau budgétaire 1'!E364</f>
        <v>0</v>
      </c>
      <c r="F132" s="51">
        <f>'1) Tableau budgétaire 1'!F364</f>
        <v>0</v>
      </c>
      <c r="G132" s="52">
        <f>SUM(D132:F132)</f>
        <v>0</v>
      </c>
    </row>
    <row r="133" spans="2:7" s="43" customFormat="1" ht="24.75" customHeight="1" x14ac:dyDescent="0.3">
      <c r="B133" s="238"/>
      <c r="C133" s="48" t="s">
        <v>36</v>
      </c>
      <c r="D133" s="242">
        <f>SUMIF('1) Tableau budgétaire 1'!$K$339:$K$363,LEFT($C133,1),'1) Tableau budgétaire 1'!$D$339:$D$363)</f>
        <v>0</v>
      </c>
      <c r="E133" s="242">
        <f>SUMIF('1) Tableau budgétaire 1'!$K$339:$K$363,LEFT($C133,1),'1) Tableau budgétaire 1'!$E$339:$E$363)</f>
        <v>0</v>
      </c>
      <c r="F133" s="242">
        <f>SUMIF('1) Tableau budgétaire 1'!$K$339:$K$363,LEFT($C133,1),'1) Tableau budgétaire 1'!$F$339:$F$363)</f>
        <v>0</v>
      </c>
      <c r="G133" s="49">
        <f t="shared" ref="G133:G140" si="26">SUM(D133:F133)</f>
        <v>0</v>
      </c>
    </row>
    <row r="134" spans="2:7" s="43" customFormat="1" ht="15.75" customHeight="1" x14ac:dyDescent="0.3">
      <c r="B134" s="238"/>
      <c r="C134" s="38" t="s">
        <v>37</v>
      </c>
      <c r="D134" s="242">
        <f>SUMIF('1) Tableau budgétaire 1'!$K$339:$K$363,LEFT($C134,1),'1) Tableau budgétaire 1'!$D$339:$D$363)</f>
        <v>0</v>
      </c>
      <c r="E134" s="242">
        <f>SUMIF('1) Tableau budgétaire 1'!$K$339:$K$363,LEFT($C134,1),'1) Tableau budgétaire 1'!$E$339:$E$363)</f>
        <v>0</v>
      </c>
      <c r="F134" s="242">
        <f>SUMIF('1) Tableau budgétaire 1'!$K$339:$K$363,LEFT($C134,1),'1) Tableau budgétaire 1'!$F$339:$F$363)</f>
        <v>0</v>
      </c>
      <c r="G134" s="47">
        <f t="shared" si="26"/>
        <v>0</v>
      </c>
    </row>
    <row r="135" spans="2:7" s="43" customFormat="1" ht="15.75" customHeight="1" x14ac:dyDescent="0.3">
      <c r="B135" s="238"/>
      <c r="C135" s="38" t="s">
        <v>38</v>
      </c>
      <c r="D135" s="242">
        <f>SUMIF('1) Tableau budgétaire 1'!$K$339:$K$363,LEFT($C135,1),'1) Tableau budgétaire 1'!$D$339:$D$363)</f>
        <v>0</v>
      </c>
      <c r="E135" s="242">
        <f>SUMIF('1) Tableau budgétaire 1'!$K$339:$K$363,LEFT($C135,1),'1) Tableau budgétaire 1'!$E$339:$E$363)</f>
        <v>0</v>
      </c>
      <c r="F135" s="242">
        <f>SUMIF('1) Tableau budgétaire 1'!$K$339:$K$363,LEFT($C135,1),'1) Tableau budgétaire 1'!$F$339:$F$363)</f>
        <v>0</v>
      </c>
      <c r="G135" s="47">
        <f t="shared" si="26"/>
        <v>0</v>
      </c>
    </row>
    <row r="136" spans="2:7" s="43" customFormat="1" ht="15.75" customHeight="1" x14ac:dyDescent="0.3">
      <c r="B136" s="238"/>
      <c r="C136" s="39" t="s">
        <v>39</v>
      </c>
      <c r="D136" s="242">
        <f>SUMIF('1) Tableau budgétaire 1'!$K$339:$K$363,LEFT($C136,1),'1) Tableau budgétaire 1'!$D$339:$D$363)</f>
        <v>0</v>
      </c>
      <c r="E136" s="242">
        <f>SUMIF('1) Tableau budgétaire 1'!$K$339:$K$363,LEFT($C136,1),'1) Tableau budgétaire 1'!$E$339:$E$363)</f>
        <v>0</v>
      </c>
      <c r="F136" s="242">
        <f>SUMIF('1) Tableau budgétaire 1'!$K$339:$K$363,LEFT($C136,1),'1) Tableau budgétaire 1'!$F$339:$F$363)</f>
        <v>0</v>
      </c>
      <c r="G136" s="47">
        <f t="shared" si="26"/>
        <v>0</v>
      </c>
    </row>
    <row r="137" spans="2:7" s="43" customFormat="1" ht="15.75" customHeight="1" x14ac:dyDescent="0.3">
      <c r="B137" s="238"/>
      <c r="C137" s="38" t="s">
        <v>40</v>
      </c>
      <c r="D137" s="242">
        <f>SUMIF('1) Tableau budgétaire 1'!$K$339:$K$363,LEFT($C137,1),'1) Tableau budgétaire 1'!$D$339:$D$363)</f>
        <v>0</v>
      </c>
      <c r="E137" s="242">
        <f>SUMIF('1) Tableau budgétaire 1'!$K$339:$K$363,LEFT($C137,1),'1) Tableau budgétaire 1'!$E$339:$E$363)</f>
        <v>0</v>
      </c>
      <c r="F137" s="242">
        <f>SUMIF('1) Tableau budgétaire 1'!$K$339:$K$363,LEFT($C137,1),'1) Tableau budgétaire 1'!$F$339:$F$363)</f>
        <v>0</v>
      </c>
      <c r="G137" s="47">
        <f t="shared" si="26"/>
        <v>0</v>
      </c>
    </row>
    <row r="138" spans="2:7" s="43" customFormat="1" ht="15.75" customHeight="1" x14ac:dyDescent="0.3">
      <c r="B138" s="238"/>
      <c r="C138" s="38" t="s">
        <v>41</v>
      </c>
      <c r="D138" s="242">
        <f>SUMIF('1) Tableau budgétaire 1'!$K$339:$K$363,LEFT($C138,1),'1) Tableau budgétaire 1'!$D$339:$D$363)</f>
        <v>0</v>
      </c>
      <c r="E138" s="242">
        <f>SUMIF('1) Tableau budgétaire 1'!$K$339:$K$363,LEFT($C138,1),'1) Tableau budgétaire 1'!$E$339:$E$363)</f>
        <v>0</v>
      </c>
      <c r="F138" s="242">
        <f>SUMIF('1) Tableau budgétaire 1'!$K$339:$K$363,LEFT($C138,1),'1) Tableau budgétaire 1'!$F$339:$F$363)</f>
        <v>0</v>
      </c>
      <c r="G138" s="47">
        <f t="shared" si="26"/>
        <v>0</v>
      </c>
    </row>
    <row r="139" spans="2:7" s="43" customFormat="1" ht="15.75" customHeight="1" x14ac:dyDescent="0.3">
      <c r="B139" s="238"/>
      <c r="C139" s="38" t="s">
        <v>42</v>
      </c>
      <c r="D139" s="242">
        <f>SUMIF('1) Tableau budgétaire 1'!$K$339:$K$363,LEFT($C139,1),'1) Tableau budgétaire 1'!$D$339:$D$363)</f>
        <v>0</v>
      </c>
      <c r="E139" s="242">
        <f>SUMIF('1) Tableau budgétaire 1'!$K$339:$K$363,LEFT($C139,1),'1) Tableau budgétaire 1'!$E$339:$E$363)</f>
        <v>0</v>
      </c>
      <c r="F139" s="242">
        <f>SUMIF('1) Tableau budgétaire 1'!$K$339:$K$363,LEFT($C139,1),'1) Tableau budgétaire 1'!$F$339:$F$363)</f>
        <v>0</v>
      </c>
      <c r="G139" s="47">
        <f t="shared" si="26"/>
        <v>0</v>
      </c>
    </row>
    <row r="140" spans="2:7" s="43" customFormat="1" ht="15.75" customHeight="1" x14ac:dyDescent="0.3">
      <c r="B140" s="238"/>
      <c r="C140" s="42" t="s">
        <v>129</v>
      </c>
      <c r="D140" s="53">
        <f>SUM(D133:D139)</f>
        <v>0</v>
      </c>
      <c r="E140" s="53">
        <f>SUM(E133:E139)</f>
        <v>0</v>
      </c>
      <c r="F140" s="53">
        <f t="shared" ref="F140" si="27">SUM(F133:F139)</f>
        <v>0</v>
      </c>
      <c r="G140" s="47">
        <f t="shared" si="26"/>
        <v>0</v>
      </c>
    </row>
    <row r="141" spans="2:7" s="41" customFormat="1" ht="15.75" customHeight="1" x14ac:dyDescent="0.3">
      <c r="B141" s="239"/>
      <c r="C141" s="54"/>
      <c r="D141" s="55"/>
      <c r="E141" s="55"/>
      <c r="F141" s="55"/>
      <c r="G141" s="56"/>
    </row>
    <row r="142" spans="2:7" s="43" customFormat="1" ht="15.75" customHeight="1" x14ac:dyDescent="0.3">
      <c r="B142" s="243"/>
      <c r="C142" s="527" t="s">
        <v>146</v>
      </c>
      <c r="D142" s="528"/>
      <c r="E142" s="528"/>
      <c r="F142" s="528"/>
      <c r="G142" s="529"/>
    </row>
    <row r="143" spans="2:7" s="43" customFormat="1" ht="21" customHeight="1" thickBot="1" x14ac:dyDescent="0.35">
      <c r="B143" s="243"/>
      <c r="C143" s="50" t="s">
        <v>147</v>
      </c>
      <c r="D143" s="51">
        <f>'1) Tableau budgétaire 1'!D391</f>
        <v>0</v>
      </c>
      <c r="E143" s="51">
        <f>'1) Tableau budgétaire 1'!E391</f>
        <v>0</v>
      </c>
      <c r="F143" s="51">
        <f>'1) Tableau budgétaire 1'!F391</f>
        <v>0</v>
      </c>
      <c r="G143" s="52">
        <f t="shared" ref="G143:G151" si="28">SUM(D143:F143)</f>
        <v>0</v>
      </c>
    </row>
    <row r="144" spans="2:7" s="43" customFormat="1" ht="15.75" customHeight="1" x14ac:dyDescent="0.3">
      <c r="B144" s="243"/>
      <c r="C144" s="48" t="s">
        <v>36</v>
      </c>
      <c r="D144" s="242">
        <f>SUMIF('1) Tableau budgétaire 1'!$K$366:$K$390,LEFT($C144,1),'1) Tableau budgétaire 1'!$D$366:$D$390)</f>
        <v>0</v>
      </c>
      <c r="E144" s="242">
        <f>SUMIF('1) Tableau budgétaire 1'!$K$366:$K$390,LEFT($C144,1),'1) Tableau budgétaire 1'!$E$366:$E$390)</f>
        <v>0</v>
      </c>
      <c r="F144" s="242">
        <f>SUMIF('1) Tableau budgétaire 1'!$K$366:$K$390,LEFT($C144,1),'1) Tableau budgétaire 1'!$F$366:$F$390)</f>
        <v>0</v>
      </c>
      <c r="G144" s="49">
        <f t="shared" si="28"/>
        <v>0</v>
      </c>
    </row>
    <row r="145" spans="3:7" s="43" customFormat="1" ht="15.75" customHeight="1" x14ac:dyDescent="0.3">
      <c r="C145" s="38" t="s">
        <v>37</v>
      </c>
      <c r="D145" s="242">
        <f>SUMIF('1) Tableau budgétaire 1'!$K$366:$K$390,LEFT($C145,1),'1) Tableau budgétaire 1'!$D$366:$D$390)</f>
        <v>0</v>
      </c>
      <c r="E145" s="242">
        <f>SUMIF('1) Tableau budgétaire 1'!$K$366:$K$390,LEFT($C145,1),'1) Tableau budgétaire 1'!$E$366:$E$390)</f>
        <v>0</v>
      </c>
      <c r="F145" s="242">
        <f>SUMIF('1) Tableau budgétaire 1'!$K$366:$K$390,LEFT($C145,1),'1) Tableau budgétaire 1'!$F$366:$F$390)</f>
        <v>0</v>
      </c>
      <c r="G145" s="47">
        <f t="shared" si="28"/>
        <v>0</v>
      </c>
    </row>
    <row r="146" spans="3:7" s="43" customFormat="1" ht="15.75" customHeight="1" x14ac:dyDescent="0.3">
      <c r="C146" s="38" t="s">
        <v>38</v>
      </c>
      <c r="D146" s="242">
        <f>SUMIF('1) Tableau budgétaire 1'!$K$366:$K$390,LEFT($C146,1),'1) Tableau budgétaire 1'!$D$366:$D$390)</f>
        <v>0</v>
      </c>
      <c r="E146" s="242">
        <f>SUMIF('1) Tableau budgétaire 1'!$K$366:$K$390,LEFT($C146,1),'1) Tableau budgétaire 1'!$E$366:$E$390)</f>
        <v>0</v>
      </c>
      <c r="F146" s="242">
        <f>SUMIF('1) Tableau budgétaire 1'!$K$366:$K$390,LEFT($C146,1),'1) Tableau budgétaire 1'!$F$366:$F$390)</f>
        <v>0</v>
      </c>
      <c r="G146" s="47">
        <f t="shared" si="28"/>
        <v>0</v>
      </c>
    </row>
    <row r="147" spans="3:7" s="43" customFormat="1" ht="15.75" customHeight="1" x14ac:dyDescent="0.3">
      <c r="C147" s="39" t="s">
        <v>39</v>
      </c>
      <c r="D147" s="242">
        <f>SUMIF('1) Tableau budgétaire 1'!$K$366:$K$390,LEFT($C147,1),'1) Tableau budgétaire 1'!$D$366:$D$390)</f>
        <v>0</v>
      </c>
      <c r="E147" s="242">
        <f>SUMIF('1) Tableau budgétaire 1'!$K$366:$K$390,LEFT($C147,1),'1) Tableau budgétaire 1'!$E$366:$E$390)</f>
        <v>0</v>
      </c>
      <c r="F147" s="242">
        <f>SUMIF('1) Tableau budgétaire 1'!$K$366:$K$390,LEFT($C147,1),'1) Tableau budgétaire 1'!$F$366:$F$390)</f>
        <v>0</v>
      </c>
      <c r="G147" s="47">
        <f>SUM(D147:F147)</f>
        <v>0</v>
      </c>
    </row>
    <row r="148" spans="3:7" s="43" customFormat="1" ht="15.75" customHeight="1" x14ac:dyDescent="0.3">
      <c r="C148" s="38" t="s">
        <v>40</v>
      </c>
      <c r="D148" s="242">
        <f>SUMIF('1) Tableau budgétaire 1'!$K$366:$K$390,LEFT($C148,1),'1) Tableau budgétaire 1'!$D$366:$D$390)</f>
        <v>0</v>
      </c>
      <c r="E148" s="242">
        <f>SUMIF('1) Tableau budgétaire 1'!$K$366:$K$390,LEFT($C148,1),'1) Tableau budgétaire 1'!$E$366:$E$390)</f>
        <v>0</v>
      </c>
      <c r="F148" s="242">
        <f>SUMIF('1) Tableau budgétaire 1'!$K$366:$K$390,LEFT($C148,1),'1) Tableau budgétaire 1'!$F$366:$F$390)</f>
        <v>0</v>
      </c>
      <c r="G148" s="47">
        <f t="shared" si="28"/>
        <v>0</v>
      </c>
    </row>
    <row r="149" spans="3:7" s="43" customFormat="1" ht="15.75" customHeight="1" x14ac:dyDescent="0.3">
      <c r="C149" s="38" t="s">
        <v>41</v>
      </c>
      <c r="D149" s="242">
        <f>SUMIF('1) Tableau budgétaire 1'!$K$366:$K$390,LEFT($C149,1),'1) Tableau budgétaire 1'!$D$366:$D$390)</f>
        <v>0</v>
      </c>
      <c r="E149" s="242">
        <f>SUMIF('1) Tableau budgétaire 1'!$K$366:$K$390,LEFT($C149,1),'1) Tableau budgétaire 1'!$E$366:$E$390)</f>
        <v>0</v>
      </c>
      <c r="F149" s="242">
        <f>SUMIF('1) Tableau budgétaire 1'!$K$366:$K$390,LEFT($C149,1),'1) Tableau budgétaire 1'!$F$366:$F$390)</f>
        <v>0</v>
      </c>
      <c r="G149" s="47">
        <f t="shared" si="28"/>
        <v>0</v>
      </c>
    </row>
    <row r="150" spans="3:7" s="43" customFormat="1" ht="15.75" customHeight="1" x14ac:dyDescent="0.3">
      <c r="C150" s="38" t="s">
        <v>42</v>
      </c>
      <c r="D150" s="242">
        <f>SUMIF('1) Tableau budgétaire 1'!$K$366:$K$390,LEFT($C150,1),'1) Tableau budgétaire 1'!$D$366:$D$390)</f>
        <v>0</v>
      </c>
      <c r="E150" s="242">
        <f>SUMIF('1) Tableau budgétaire 1'!$K$366:$K$390,LEFT($C150,1),'1) Tableau budgétaire 1'!$E$366:$E$390)</f>
        <v>0</v>
      </c>
      <c r="F150" s="242">
        <f>SUMIF('1) Tableau budgétaire 1'!$K$366:$K$390,LEFT($C150,1),'1) Tableau budgétaire 1'!$F$366:$F$390)</f>
        <v>0</v>
      </c>
      <c r="G150" s="47">
        <f t="shared" si="28"/>
        <v>0</v>
      </c>
    </row>
    <row r="151" spans="3:7" s="43" customFormat="1" ht="15.75" customHeight="1" x14ac:dyDescent="0.3">
      <c r="C151" s="42" t="s">
        <v>129</v>
      </c>
      <c r="D151" s="53">
        <f t="shared" ref="D151:E151" si="29">SUM(D144:D150)</f>
        <v>0</v>
      </c>
      <c r="E151" s="53">
        <f t="shared" si="29"/>
        <v>0</v>
      </c>
      <c r="F151" s="53">
        <f t="shared" ref="F151" si="30">SUM(F144:F150)</f>
        <v>0</v>
      </c>
      <c r="G151" s="47">
        <f t="shared" si="28"/>
        <v>0</v>
      </c>
    </row>
    <row r="152" spans="3:7" s="41" customFormat="1" ht="15.75" customHeight="1" x14ac:dyDescent="0.3">
      <c r="C152" s="54"/>
      <c r="D152" s="55"/>
      <c r="E152" s="55"/>
      <c r="F152" s="55"/>
      <c r="G152" s="56"/>
    </row>
    <row r="153" spans="3:7" s="43" customFormat="1" ht="15.75" customHeight="1" x14ac:dyDescent="0.3">
      <c r="C153" s="527" t="s">
        <v>20</v>
      </c>
      <c r="D153" s="528"/>
      <c r="E153" s="528"/>
      <c r="F153" s="528"/>
      <c r="G153" s="529"/>
    </row>
    <row r="154" spans="3:7" s="43" customFormat="1" ht="19.5" customHeight="1" thickBot="1" x14ac:dyDescent="0.35">
      <c r="C154" s="50" t="s">
        <v>148</v>
      </c>
      <c r="D154" s="51">
        <f>'1) Tableau budgétaire 1'!D419</f>
        <v>0</v>
      </c>
      <c r="E154" s="51">
        <f>'1) Tableau budgétaire 1'!E419</f>
        <v>0</v>
      </c>
      <c r="F154" s="51">
        <f>'1) Tableau budgétaire 1'!F419</f>
        <v>0</v>
      </c>
      <c r="G154" s="52">
        <f t="shared" ref="G154:G161" si="31">SUM(D154:F154)</f>
        <v>0</v>
      </c>
    </row>
    <row r="155" spans="3:7" s="43" customFormat="1" ht="15.75" customHeight="1" x14ac:dyDescent="0.3">
      <c r="C155" s="48" t="s">
        <v>36</v>
      </c>
      <c r="D155" s="242">
        <f>SUMIF('1) Tableau budgétaire 1'!$K$393:$K$418,LEFT($C155,1),'1) Tableau budgétaire 1'!$D$393:$D$418)</f>
        <v>0</v>
      </c>
      <c r="E155" s="242">
        <f>SUMIF('1) Tableau budgétaire 1'!$K$393:$K$418,LEFT($C155,1),'1) Tableau budgétaire 1'!$E$393:$E$418)</f>
        <v>0</v>
      </c>
      <c r="F155" s="242">
        <f>SUMIF('1) Tableau budgétaire 1'!$K$393:$K$418,LEFT($C155,1),'1) Tableau budgétaire 1'!$F$393:$F$418)</f>
        <v>0</v>
      </c>
      <c r="G155" s="49">
        <f t="shared" si="31"/>
        <v>0</v>
      </c>
    </row>
    <row r="156" spans="3:7" s="43" customFormat="1" ht="15.75" customHeight="1" x14ac:dyDescent="0.3">
      <c r="C156" s="38" t="s">
        <v>37</v>
      </c>
      <c r="D156" s="242">
        <f>SUMIF('1) Tableau budgétaire 1'!$K$393:$K$418,LEFT($C156,1),'1) Tableau budgétaire 1'!$D$393:$D$418)</f>
        <v>0</v>
      </c>
      <c r="E156" s="242">
        <f>SUMIF('1) Tableau budgétaire 1'!$K$393:$K$418,LEFT($C156,1),'1) Tableau budgétaire 1'!$E$393:$E$418)</f>
        <v>0</v>
      </c>
      <c r="F156" s="242">
        <f>SUMIF('1) Tableau budgétaire 1'!$K$393:$K$418,LEFT($C156,1),'1) Tableau budgétaire 1'!$F$393:$F$418)</f>
        <v>0</v>
      </c>
      <c r="G156" s="47">
        <f t="shared" si="31"/>
        <v>0</v>
      </c>
    </row>
    <row r="157" spans="3:7" s="43" customFormat="1" ht="15.75" customHeight="1" x14ac:dyDescent="0.3">
      <c r="C157" s="38" t="s">
        <v>38</v>
      </c>
      <c r="D157" s="242">
        <f>SUMIF('1) Tableau budgétaire 1'!$K$393:$K$418,LEFT($C157,1),'1) Tableau budgétaire 1'!$D$393:$D$418)</f>
        <v>0</v>
      </c>
      <c r="E157" s="242">
        <f>SUMIF('1) Tableau budgétaire 1'!$K$393:$K$418,LEFT($C157,1),'1) Tableau budgétaire 1'!$E$393:$E$418)</f>
        <v>0</v>
      </c>
      <c r="F157" s="242">
        <f>SUMIF('1) Tableau budgétaire 1'!$K$393:$K$418,LEFT($C157,1),'1) Tableau budgétaire 1'!$F$393:$F$418)</f>
        <v>0</v>
      </c>
      <c r="G157" s="47">
        <f t="shared" si="31"/>
        <v>0</v>
      </c>
    </row>
    <row r="158" spans="3:7" s="43" customFormat="1" ht="15.75" customHeight="1" x14ac:dyDescent="0.3">
      <c r="C158" s="39" t="s">
        <v>39</v>
      </c>
      <c r="D158" s="242">
        <f>SUMIF('1) Tableau budgétaire 1'!$K$393:$K$418,LEFT($C158,1),'1) Tableau budgétaire 1'!$D$393:$D$418)</f>
        <v>0</v>
      </c>
      <c r="E158" s="242">
        <f>SUMIF('1) Tableau budgétaire 1'!$K$393:$K$418,LEFT($C158,1),'1) Tableau budgétaire 1'!$E$393:$E$418)</f>
        <v>0</v>
      </c>
      <c r="F158" s="242">
        <f>SUMIF('1) Tableau budgétaire 1'!$K$393:$K$418,LEFT($C158,1),'1) Tableau budgétaire 1'!$F$393:$F$418)</f>
        <v>0</v>
      </c>
      <c r="G158" s="47">
        <f t="shared" si="31"/>
        <v>0</v>
      </c>
    </row>
    <row r="159" spans="3:7" s="43" customFormat="1" ht="15.75" customHeight="1" x14ac:dyDescent="0.3">
      <c r="C159" s="38" t="s">
        <v>40</v>
      </c>
      <c r="D159" s="242">
        <f>SUMIF('1) Tableau budgétaire 1'!$K$393:$K$418,LEFT($C159,1),'1) Tableau budgétaire 1'!$D$393:$D$418)</f>
        <v>0</v>
      </c>
      <c r="E159" s="242">
        <f>SUMIF('1) Tableau budgétaire 1'!$K$393:$K$418,LEFT($C159,1),'1) Tableau budgétaire 1'!$E$393:$E$418)</f>
        <v>0</v>
      </c>
      <c r="F159" s="242">
        <f>SUMIF('1) Tableau budgétaire 1'!$K$393:$K$418,LEFT($C159,1),'1) Tableau budgétaire 1'!$F$393:$F$418)</f>
        <v>0</v>
      </c>
      <c r="G159" s="47">
        <f t="shared" si="31"/>
        <v>0</v>
      </c>
    </row>
    <row r="160" spans="3:7" s="43" customFormat="1" ht="15.75" customHeight="1" x14ac:dyDescent="0.3">
      <c r="C160" s="38" t="s">
        <v>41</v>
      </c>
      <c r="D160" s="242">
        <f>SUMIF('1) Tableau budgétaire 1'!$K$393:$K$418,LEFT($C160,1),'1) Tableau budgétaire 1'!$D$393:$D$418)</f>
        <v>0</v>
      </c>
      <c r="E160" s="242">
        <f>SUMIF('1) Tableau budgétaire 1'!$K$393:$K$418,LEFT($C160,1),'1) Tableau budgétaire 1'!$E$393:$E$418)</f>
        <v>0</v>
      </c>
      <c r="F160" s="242">
        <f>SUMIF('1) Tableau budgétaire 1'!$K$393:$K$418,LEFT($C160,1),'1) Tableau budgétaire 1'!$F$393:$F$418)</f>
        <v>0</v>
      </c>
      <c r="G160" s="47">
        <f t="shared" si="31"/>
        <v>0</v>
      </c>
    </row>
    <row r="161" spans="3:7" s="43" customFormat="1" ht="15.75" customHeight="1" x14ac:dyDescent="0.3">
      <c r="C161" s="38" t="s">
        <v>42</v>
      </c>
      <c r="D161" s="242">
        <f>SUMIF('1) Tableau budgétaire 1'!$K$393:$K$418,LEFT($C161,1),'1) Tableau budgétaire 1'!$D$393:$D$418)</f>
        <v>0</v>
      </c>
      <c r="E161" s="242">
        <f>SUMIF('1) Tableau budgétaire 1'!$K$393:$K$418,LEFT($C161,1),'1) Tableau budgétaire 1'!$E$393:$E$418)</f>
        <v>0</v>
      </c>
      <c r="F161" s="242">
        <f>SUMIF('1) Tableau budgétaire 1'!$K$393:$K$418,LEFT($C161,1),'1) Tableau budgétaire 1'!$F$393:$F$418)</f>
        <v>0</v>
      </c>
      <c r="G161" s="47">
        <f t="shared" si="31"/>
        <v>0</v>
      </c>
    </row>
    <row r="162" spans="3:7" s="43" customFormat="1" ht="15.75" customHeight="1" x14ac:dyDescent="0.3">
      <c r="C162" s="42" t="s">
        <v>129</v>
      </c>
      <c r="D162" s="53">
        <f t="shared" ref="D162:E162" si="32">SUM(D155:D161)</f>
        <v>0</v>
      </c>
      <c r="E162" s="53">
        <f t="shared" si="32"/>
        <v>0</v>
      </c>
      <c r="F162" s="53">
        <f t="shared" ref="F162" si="33">SUM(F155:F161)</f>
        <v>0</v>
      </c>
      <c r="G162" s="47">
        <f>SUM(D162:F162)</f>
        <v>0</v>
      </c>
    </row>
    <row r="163" spans="3:7" s="41" customFormat="1" ht="15.75" customHeight="1" x14ac:dyDescent="0.3">
      <c r="C163" s="54"/>
      <c r="D163" s="55"/>
      <c r="E163" s="55"/>
      <c r="F163" s="55"/>
      <c r="G163" s="56"/>
    </row>
    <row r="164" spans="3:7" s="43" customFormat="1" ht="15.75" customHeight="1" x14ac:dyDescent="0.3">
      <c r="C164" s="527" t="s">
        <v>96</v>
      </c>
      <c r="D164" s="528"/>
      <c r="E164" s="528"/>
      <c r="F164" s="528"/>
      <c r="G164" s="529"/>
    </row>
    <row r="165" spans="3:7" s="43" customFormat="1" ht="22.5" customHeight="1" thickBot="1" x14ac:dyDescent="0.35">
      <c r="C165" s="50" t="s">
        <v>149</v>
      </c>
      <c r="D165" s="51">
        <f>'1) Tableau budgétaire 1'!D431</f>
        <v>0</v>
      </c>
      <c r="E165" s="51">
        <f>'1) Tableau budgétaire 1'!E431</f>
        <v>0</v>
      </c>
      <c r="F165" s="51">
        <f>'1) Tableau budgétaire 1'!F431</f>
        <v>0</v>
      </c>
      <c r="G165" s="52">
        <f t="shared" ref="G165:G173" si="34">SUM(D165:F165)</f>
        <v>0</v>
      </c>
    </row>
    <row r="166" spans="3:7" s="43" customFormat="1" ht="15.75" customHeight="1" x14ac:dyDescent="0.3">
      <c r="C166" s="48" t="s">
        <v>36</v>
      </c>
      <c r="D166" s="242">
        <f>SUMIF('1) Tableau budgétaire 1'!$K$421:$K$430,LEFT($C166,1),'1) Tableau budgétaire 1'!$D$421:$D$430)</f>
        <v>0</v>
      </c>
      <c r="E166" s="242">
        <f>SUMIF('1) Tableau budgétaire 1'!$K$421:$K$430,LEFT($C166,1),'1) Tableau budgétaire 1'!$E$421:$E$430)</f>
        <v>0</v>
      </c>
      <c r="F166" s="242">
        <f>SUMIF('1) Tableau budgétaire 1'!$K$421:$K$430,LEFT($C166,1),'1) Tableau budgétaire 1'!$F$421:$F$430)</f>
        <v>0</v>
      </c>
      <c r="G166" s="49">
        <f t="shared" si="34"/>
        <v>0</v>
      </c>
    </row>
    <row r="167" spans="3:7" s="43" customFormat="1" ht="15.75" customHeight="1" x14ac:dyDescent="0.3">
      <c r="C167" s="38" t="s">
        <v>37</v>
      </c>
      <c r="D167" s="242">
        <f>SUMIF('1) Tableau budgétaire 1'!$K$421:$K$430,LEFT($C167,1),'1) Tableau budgétaire 1'!$D$421:$D$430)</f>
        <v>0</v>
      </c>
      <c r="E167" s="242">
        <f>SUMIF('1) Tableau budgétaire 1'!$K$421:$K$430,LEFT($C167,1),'1) Tableau budgétaire 1'!$E$421:$E$430)</f>
        <v>0</v>
      </c>
      <c r="F167" s="242">
        <f>SUMIF('1) Tableau budgétaire 1'!$K$421:$K$430,LEFT($C167,1),'1) Tableau budgétaire 1'!$F$421:$F$430)</f>
        <v>0</v>
      </c>
      <c r="G167" s="47">
        <f t="shared" si="34"/>
        <v>0</v>
      </c>
    </row>
    <row r="168" spans="3:7" s="43" customFormat="1" ht="15.75" customHeight="1" x14ac:dyDescent="0.3">
      <c r="C168" s="38" t="s">
        <v>38</v>
      </c>
      <c r="D168" s="242">
        <f>SUMIF('1) Tableau budgétaire 1'!$K$421:$K$430,LEFT($C168,1),'1) Tableau budgétaire 1'!$D$421:$D$430)</f>
        <v>0</v>
      </c>
      <c r="E168" s="242">
        <f>SUMIF('1) Tableau budgétaire 1'!$K$421:$K$430,LEFT($C168,1),'1) Tableau budgétaire 1'!$E$421:$E$430)</f>
        <v>0</v>
      </c>
      <c r="F168" s="242">
        <f>SUMIF('1) Tableau budgétaire 1'!$K$421:$K$430,LEFT($C168,1),'1) Tableau budgétaire 1'!$F$421:$F$430)</f>
        <v>0</v>
      </c>
      <c r="G168" s="47">
        <f t="shared" si="34"/>
        <v>0</v>
      </c>
    </row>
    <row r="169" spans="3:7" s="43" customFormat="1" ht="15.75" customHeight="1" x14ac:dyDescent="0.3">
      <c r="C169" s="39" t="s">
        <v>39</v>
      </c>
      <c r="D169" s="242">
        <f>SUMIF('1) Tableau budgétaire 1'!$K$421:$K$430,LEFT($C169,1),'1) Tableau budgétaire 1'!$D$421:$D$430)</f>
        <v>0</v>
      </c>
      <c r="E169" s="242">
        <f>SUMIF('1) Tableau budgétaire 1'!$K$421:$K$430,LEFT($C169,1),'1) Tableau budgétaire 1'!$E$421:$E$430)</f>
        <v>0</v>
      </c>
      <c r="F169" s="242">
        <f>SUMIF('1) Tableau budgétaire 1'!$K$421:$K$430,LEFT($C169,1),'1) Tableau budgétaire 1'!$F$421:$F$430)</f>
        <v>0</v>
      </c>
      <c r="G169" s="47">
        <f t="shared" si="34"/>
        <v>0</v>
      </c>
    </row>
    <row r="170" spans="3:7" s="43" customFormat="1" ht="15.75" customHeight="1" x14ac:dyDescent="0.3">
      <c r="C170" s="38" t="s">
        <v>40</v>
      </c>
      <c r="D170" s="242">
        <f>SUMIF('1) Tableau budgétaire 1'!$K$421:$K$430,LEFT($C170,1),'1) Tableau budgétaire 1'!$D$421:$D$430)</f>
        <v>0</v>
      </c>
      <c r="E170" s="242">
        <f>SUMIF('1) Tableau budgétaire 1'!$K$421:$K$430,LEFT($C170,1),'1) Tableau budgétaire 1'!$E$421:$E$430)</f>
        <v>0</v>
      </c>
      <c r="F170" s="242">
        <f>SUMIF('1) Tableau budgétaire 1'!$K$421:$K$430,LEFT($C170,1),'1) Tableau budgétaire 1'!$F$421:$F$430)</f>
        <v>0</v>
      </c>
      <c r="G170" s="47">
        <f t="shared" si="34"/>
        <v>0</v>
      </c>
    </row>
    <row r="171" spans="3:7" s="43" customFormat="1" ht="15.75" customHeight="1" x14ac:dyDescent="0.3">
      <c r="C171" s="38" t="s">
        <v>41</v>
      </c>
      <c r="D171" s="242">
        <f>SUMIF('1) Tableau budgétaire 1'!$K$421:$K$430,LEFT($C171,1),'1) Tableau budgétaire 1'!$D$421:$D$430)</f>
        <v>0</v>
      </c>
      <c r="E171" s="242">
        <f>SUMIF('1) Tableau budgétaire 1'!$K$421:$K$430,LEFT($C171,1),'1) Tableau budgétaire 1'!$E$421:$E$430)</f>
        <v>0</v>
      </c>
      <c r="F171" s="242">
        <f>SUMIF('1) Tableau budgétaire 1'!$K$421:$K$430,LEFT($C171,1),'1) Tableau budgétaire 1'!$F$421:$F$430)</f>
        <v>0</v>
      </c>
      <c r="G171" s="47">
        <f t="shared" si="34"/>
        <v>0</v>
      </c>
    </row>
    <row r="172" spans="3:7" s="43" customFormat="1" ht="15.75" customHeight="1" x14ac:dyDescent="0.3">
      <c r="C172" s="38" t="s">
        <v>42</v>
      </c>
      <c r="D172" s="242">
        <f>SUMIF('1) Tableau budgétaire 1'!$K$421:$K$430,LEFT($C172,1),'1) Tableau budgétaire 1'!$D$421:$D$430)</f>
        <v>0</v>
      </c>
      <c r="E172" s="242">
        <f>SUMIF('1) Tableau budgétaire 1'!$K$421:$K$430,LEFT($C172,1),'1) Tableau budgétaire 1'!$E$421:$E$430)</f>
        <v>0</v>
      </c>
      <c r="F172" s="242">
        <f>SUMIF('1) Tableau budgétaire 1'!$K$421:$K$430,LEFT($C172,1),'1) Tableau budgétaire 1'!$F$421:$F$430)</f>
        <v>0</v>
      </c>
      <c r="G172" s="47">
        <f t="shared" si="34"/>
        <v>0</v>
      </c>
    </row>
    <row r="173" spans="3:7" s="43" customFormat="1" ht="15.75" customHeight="1" x14ac:dyDescent="0.3">
      <c r="C173" s="42" t="s">
        <v>129</v>
      </c>
      <c r="D173" s="53">
        <f t="shared" ref="D173:E173" si="35">SUM(D166:D172)</f>
        <v>0</v>
      </c>
      <c r="E173" s="53">
        <f t="shared" si="35"/>
        <v>0</v>
      </c>
      <c r="F173" s="53">
        <f t="shared" ref="F173" si="36">SUM(F166:F172)</f>
        <v>0</v>
      </c>
      <c r="G173" s="47">
        <f t="shared" si="34"/>
        <v>0</v>
      </c>
    </row>
    <row r="174" spans="3:7" s="43" customFormat="1" ht="15.75" customHeight="1" x14ac:dyDescent="0.3">
      <c r="C174" s="238"/>
      <c r="D174" s="239"/>
      <c r="E174" s="239"/>
      <c r="F174" s="239"/>
      <c r="G174" s="238"/>
    </row>
    <row r="175" spans="3:7" s="43" customFormat="1" ht="18" customHeight="1" x14ac:dyDescent="0.3">
      <c r="C175" s="527" t="s">
        <v>150</v>
      </c>
      <c r="D175" s="528"/>
      <c r="E175" s="528"/>
      <c r="F175" s="528"/>
      <c r="G175" s="529"/>
    </row>
    <row r="176" spans="3:7" s="43" customFormat="1" ht="24" customHeight="1" thickBot="1" x14ac:dyDescent="0.35">
      <c r="C176" s="50" t="s">
        <v>151</v>
      </c>
      <c r="D176" s="51">
        <f>'1) Tableau budgétaire 1'!D461</f>
        <v>515778</v>
      </c>
      <c r="E176" s="51">
        <f>'1) Tableau budgétaire 1'!E461</f>
        <v>229850.6</v>
      </c>
      <c r="F176" s="51">
        <f>'1) Tableau budgétaire 1'!F461</f>
        <v>0</v>
      </c>
      <c r="G176" s="52">
        <f t="shared" ref="G176:G184" si="37">SUM(D176:F176)</f>
        <v>745628.6</v>
      </c>
    </row>
    <row r="177" spans="3:8" s="43" customFormat="1" ht="15.75" customHeight="1" x14ac:dyDescent="0.3">
      <c r="C177" s="48" t="s">
        <v>36</v>
      </c>
      <c r="D177" s="242">
        <f>SUMIF('1) Tableau budgétaire 1'!$K$434:$K$460,LEFT($C177,1),'1) Tableau budgétaire 1'!$D$434:$D$460)</f>
        <v>120000</v>
      </c>
      <c r="E177" s="242">
        <f>SUMIF('1) Tableau budgétaire 1'!$K$434:$K$460,LEFT($C177,1),'1) Tableau budgétaire 1'!$E$434:$E$460)</f>
        <v>131200.6</v>
      </c>
      <c r="F177" s="242">
        <f>SUMIF('1) Tableau budgétaire 1'!$K$434:$K$460,LEFT($C177,1),'1) Tableau budgétaire 1'!$F$434:$F$460)</f>
        <v>0</v>
      </c>
      <c r="G177" s="49">
        <f t="shared" si="37"/>
        <v>251200.6</v>
      </c>
    </row>
    <row r="178" spans="3:8" s="43" customFormat="1" ht="15.6" customHeight="1" x14ac:dyDescent="0.3">
      <c r="C178" s="38" t="s">
        <v>37</v>
      </c>
      <c r="D178" s="242">
        <f>SUMIF('1) Tableau budgétaire 1'!$K$434:$K$460,LEFT($C178,1),'1) Tableau budgétaire 1'!$D$434:$D$460)</f>
        <v>0</v>
      </c>
      <c r="E178" s="242">
        <f>SUMIF('1) Tableau budgétaire 1'!$K$434:$K$460,LEFT($C178,1),'1) Tableau budgétaire 1'!$E$434:$E$460)</f>
        <v>0</v>
      </c>
      <c r="F178" s="242">
        <f>SUMIF('1) Tableau budgétaire 1'!$K$434:$K$460,LEFT($C178,1),'1) Tableau budgétaire 1'!$F$434:$F$460)</f>
        <v>0</v>
      </c>
      <c r="G178" s="47">
        <f t="shared" si="37"/>
        <v>0</v>
      </c>
    </row>
    <row r="179" spans="3:8" s="43" customFormat="1" ht="15.6" customHeight="1" x14ac:dyDescent="0.3">
      <c r="C179" s="38" t="s">
        <v>38</v>
      </c>
      <c r="D179" s="242">
        <f>SUMIF('1) Tableau budgétaire 1'!$K$434:$K$460,LEFT($C179,1),'1) Tableau budgétaire 1'!$D$434:$D$460)</f>
        <v>0</v>
      </c>
      <c r="E179" s="242">
        <f>SUMIF('1) Tableau budgétaire 1'!$K$434:$K$460,LEFT($C179,1),'1) Tableau budgétaire 1'!$E$434:$E$460)</f>
        <v>0</v>
      </c>
      <c r="F179" s="242">
        <f>SUMIF('1) Tableau budgétaire 1'!$K$434:$K$460,LEFT($C179,1),'1) Tableau budgétaire 1'!$F$434:$F$460)</f>
        <v>0</v>
      </c>
      <c r="G179" s="47">
        <f t="shared" si="37"/>
        <v>0</v>
      </c>
    </row>
    <row r="180" spans="3:8" s="43" customFormat="1" ht="15.75" customHeight="1" x14ac:dyDescent="0.3">
      <c r="C180" s="39" t="s">
        <v>39</v>
      </c>
      <c r="D180" s="242">
        <f>SUMIF('1) Tableau budgétaire 1'!$K$434:$K$460,LEFT($C180,1),'1) Tableau budgétaire 1'!$D$434:$D$460)</f>
        <v>270178</v>
      </c>
      <c r="E180" s="242">
        <f>SUMIF('1) Tableau budgétaire 1'!$K$434:$K$460,LEFT($C180,1),'1) Tableau budgétaire 1'!$E$434:$E$460)</f>
        <v>43500</v>
      </c>
      <c r="F180" s="242">
        <f>SUMIF('1) Tableau budgétaire 1'!$K$434:$K$460,LEFT($C180,1),'1) Tableau budgétaire 1'!$F$434:$F$460)</f>
        <v>0</v>
      </c>
      <c r="G180" s="47">
        <f t="shared" si="37"/>
        <v>313678</v>
      </c>
    </row>
    <row r="181" spans="3:8" s="43" customFormat="1" ht="15.75" customHeight="1" x14ac:dyDescent="0.3">
      <c r="C181" s="38" t="s">
        <v>40</v>
      </c>
      <c r="D181" s="242">
        <f>SUMIF('1) Tableau budgétaire 1'!$K$434:$K$460,LEFT($C181,1),'1) Tableau budgétaire 1'!$D$434:$D$460)</f>
        <v>18000</v>
      </c>
      <c r="E181" s="242">
        <f>SUMIF('1) Tableau budgétaire 1'!$K$434:$K$460,LEFT($C181,1),'1) Tableau budgétaire 1'!$E$434:$E$460)</f>
        <v>10150</v>
      </c>
      <c r="F181" s="242">
        <f>SUMIF('1) Tableau budgétaire 1'!$K$434:$K$460,LEFT($C181,1),'1) Tableau budgétaire 1'!$F$434:$F$460)</f>
        <v>0</v>
      </c>
      <c r="G181" s="47">
        <f t="shared" si="37"/>
        <v>28150</v>
      </c>
    </row>
    <row r="182" spans="3:8" s="43" customFormat="1" ht="15.75" customHeight="1" x14ac:dyDescent="0.3">
      <c r="C182" s="38" t="s">
        <v>41</v>
      </c>
      <c r="D182" s="242">
        <f>SUMIF('1) Tableau budgétaire 1'!$K$434:$K$460,LEFT($C182,1),'1) Tableau budgétaire 1'!$D$434:$D$460)</f>
        <v>0</v>
      </c>
      <c r="E182" s="242">
        <f>SUMIF('1) Tableau budgétaire 1'!$K$434:$K$460,LEFT($C182,1),'1) Tableau budgétaire 1'!$E$434:$E$460)</f>
        <v>0</v>
      </c>
      <c r="F182" s="242">
        <f>SUMIF('1) Tableau budgétaire 1'!$K$434:$K$460,LEFT($C182,1),'1) Tableau budgétaire 1'!$F$434:$F$460)</f>
        <v>0</v>
      </c>
      <c r="G182" s="47">
        <f t="shared" si="37"/>
        <v>0</v>
      </c>
    </row>
    <row r="183" spans="3:8" s="43" customFormat="1" ht="15.75" customHeight="1" x14ac:dyDescent="0.3">
      <c r="C183" s="38" t="s">
        <v>42</v>
      </c>
      <c r="D183" s="242">
        <f>SUMIF('1) Tableau budgétaire 1'!$K$434:$K$460,LEFT($C183,1),'1) Tableau budgétaire 1'!$D$434:$D$460)</f>
        <v>107600</v>
      </c>
      <c r="E183" s="242">
        <f>SUMIF('1) Tableau budgétaire 1'!$K$434:$K$460,LEFT($C183,1),'1) Tableau budgétaire 1'!$E$434:$E$460)</f>
        <v>45000</v>
      </c>
      <c r="F183" s="242">
        <f>SUMIF('1) Tableau budgétaire 1'!$K$434:$K$460,LEFT($C183,1),'1) Tableau budgétaire 1'!$F$434:$F$460)</f>
        <v>0</v>
      </c>
      <c r="G183" s="47">
        <f t="shared" si="37"/>
        <v>152600</v>
      </c>
    </row>
    <row r="184" spans="3:8" s="43" customFormat="1" ht="15.75" customHeight="1" x14ac:dyDescent="0.3">
      <c r="C184" s="42" t="s">
        <v>129</v>
      </c>
      <c r="D184" s="53">
        <f t="shared" ref="D184:F184" si="38">SUM(D177:D183)</f>
        <v>515778</v>
      </c>
      <c r="E184" s="53">
        <f t="shared" si="38"/>
        <v>229850.6</v>
      </c>
      <c r="F184" s="53">
        <f t="shared" si="38"/>
        <v>0</v>
      </c>
      <c r="G184" s="47">
        <f t="shared" si="37"/>
        <v>745628.6</v>
      </c>
    </row>
    <row r="185" spans="3:8" s="43" customFormat="1" ht="15.75" customHeight="1" thickBot="1" x14ac:dyDescent="0.35">
      <c r="C185" s="238"/>
      <c r="D185" s="239"/>
      <c r="E185" s="239"/>
      <c r="F185" s="239"/>
      <c r="G185" s="238"/>
    </row>
    <row r="186" spans="3:8" s="43" customFormat="1" ht="19.5" customHeight="1" thickBot="1" x14ac:dyDescent="0.35">
      <c r="C186" s="435" t="s">
        <v>35</v>
      </c>
      <c r="D186" s="538"/>
      <c r="E186" s="538"/>
      <c r="F186" s="538"/>
      <c r="G186" s="539"/>
    </row>
    <row r="187" spans="3:8" s="43" customFormat="1" ht="43.5" customHeight="1" thickBot="1" x14ac:dyDescent="0.35">
      <c r="C187" s="254"/>
      <c r="D187" s="169" t="s">
        <v>32</v>
      </c>
      <c r="E187" s="170" t="s">
        <v>33</v>
      </c>
      <c r="F187" s="170" t="s">
        <v>34</v>
      </c>
      <c r="G187" s="536" t="s">
        <v>152</v>
      </c>
    </row>
    <row r="188" spans="3:8" s="43" customFormat="1" ht="19.5" customHeight="1" thickBot="1" x14ac:dyDescent="0.35">
      <c r="C188" s="153"/>
      <c r="D188" s="173" t="str">
        <f>'1) Tableau budgétaire 1'!D13</f>
        <v>PNUD</v>
      </c>
      <c r="E188" s="173" t="str">
        <f>'1) Tableau budgétaire 1'!E13</f>
        <v>ONUDC</v>
      </c>
      <c r="F188" s="173">
        <f>'1) Tableau budgétaire 1'!F13</f>
        <v>0</v>
      </c>
      <c r="G188" s="537"/>
    </row>
    <row r="189" spans="3:8" s="43" customFormat="1" ht="19.5" customHeight="1" x14ac:dyDescent="0.3">
      <c r="C189" s="148" t="s">
        <v>36</v>
      </c>
      <c r="D189" s="172">
        <f>SUM(D166,D155,D144,D133,D120,D109,D98,D85,D74,D63,D51,D40,D29,D18,D177)</f>
        <v>120000</v>
      </c>
      <c r="E189" s="154">
        <f>SUM(E166,E155,E144,E133,E120,E109,E98,E85,E74,E63,E51,E40,E29,E18,E177)</f>
        <v>131200.6</v>
      </c>
      <c r="F189" s="154">
        <f t="shared" ref="D189:F190" si="39">SUM(F166,F155,F144,F133,F120,F109,F98,F85,F74,F63,F51,F40,F29,F18,F177)</f>
        <v>0</v>
      </c>
      <c r="G189" s="151">
        <f>SUM(D189:F189)</f>
        <v>251200.6</v>
      </c>
      <c r="H189" s="268"/>
    </row>
    <row r="190" spans="3:8" s="43" customFormat="1" ht="34.5" customHeight="1" x14ac:dyDescent="0.3">
      <c r="C190" s="149" t="s">
        <v>37</v>
      </c>
      <c r="D190" s="244">
        <f t="shared" si="39"/>
        <v>42000</v>
      </c>
      <c r="E190" s="245">
        <f>SUM(E167,E156,E145,E134,E121,E110,E99,E86,E75,E64,E52,E41,E30,E19,E178)</f>
        <v>16710</v>
      </c>
      <c r="F190" s="245">
        <f t="shared" si="39"/>
        <v>0</v>
      </c>
      <c r="G190" s="152">
        <f>SUM(D190:F190)</f>
        <v>58710</v>
      </c>
    </row>
    <row r="191" spans="3:8" s="43" customFormat="1" ht="48" customHeight="1" x14ac:dyDescent="0.3">
      <c r="C191" s="149" t="s">
        <v>38</v>
      </c>
      <c r="D191" s="244">
        <f>SUM(D168,D157,D146,D135,D122,D111,D100,D87,D76,D65,D53,D42,D31,D20,D179)</f>
        <v>0</v>
      </c>
      <c r="E191" s="245">
        <f>SUM(E168,E157,E146,E135,E122,E111,E100,E87,E76,E65,E53,E42,E31,E20,E179)</f>
        <v>0</v>
      </c>
      <c r="F191" s="245">
        <f>SUM(F168,F157,F146,F135,F122,F111,F100,F87,F76,F65,F53,F42,F31,F20,F179)</f>
        <v>0</v>
      </c>
      <c r="G191" s="152">
        <f t="shared" ref="G191:G195" si="40">SUM(D191:F191)</f>
        <v>0</v>
      </c>
    </row>
    <row r="192" spans="3:8" s="43" customFormat="1" ht="33" customHeight="1" x14ac:dyDescent="0.3">
      <c r="C192" s="147" t="s">
        <v>39</v>
      </c>
      <c r="D192" s="244">
        <f>SUM(D169,D158,D147,D136,D123,D112,D101,D88,D77,D66,D54,D43,D32,D21,D180)</f>
        <v>1229178</v>
      </c>
      <c r="E192" s="245">
        <f>SUM(E169,E158,E147,E136,E123,E112,E101,E88,E77,E66,E54,E43,E32,E21,E180)</f>
        <v>501910</v>
      </c>
      <c r="F192" s="245">
        <f>SUM(F169,F158,F147,F136,F123,F112,F101,F88,F77,F66,F54,F43,F32,F21,F180)</f>
        <v>0</v>
      </c>
      <c r="G192" s="152">
        <f t="shared" si="40"/>
        <v>1731088</v>
      </c>
    </row>
    <row r="193" spans="3:14" s="43" customFormat="1" ht="21" customHeight="1" x14ac:dyDescent="0.3">
      <c r="C193" s="149" t="s">
        <v>40</v>
      </c>
      <c r="D193" s="244">
        <f>SUM(D170,D159,D148,D137,D124,D113,D102,D89,D78,D67,D55,D44,D33,D22,D181)</f>
        <v>83700</v>
      </c>
      <c r="E193" s="245">
        <f>SUM(E170,E159,E148,E137,E124,E113,E102,E89,E78,E67,E55,E44,E33,E22,E181)</f>
        <v>59150</v>
      </c>
      <c r="F193" s="245">
        <f>SUM(F170,F159,F148,F137,F124,F113,F102,F89,F78,F67,F55,F44,F33,F22,F181)</f>
        <v>0</v>
      </c>
      <c r="G193" s="152">
        <f t="shared" si="40"/>
        <v>142850</v>
      </c>
      <c r="H193" s="230"/>
      <c r="I193" s="224"/>
      <c r="J193" s="224"/>
      <c r="K193" s="224"/>
      <c r="L193" s="224"/>
      <c r="M193" s="246"/>
      <c r="N193" s="243"/>
    </row>
    <row r="194" spans="3:14" s="43" customFormat="1" ht="39.75" customHeight="1" x14ac:dyDescent="0.3">
      <c r="C194" s="149" t="s">
        <v>41</v>
      </c>
      <c r="D194" s="244">
        <f>SUM(D171,D160,D149,D138,D125,D114,D103,D90,D79,D68,D56,D45,D34,D23,D182)</f>
        <v>0</v>
      </c>
      <c r="E194" s="245">
        <f>SUM(E171,E160,E149,E138,E125,E114,E103,E90,E79,E68,E56,E45,E34,E23,,E182)</f>
        <v>0</v>
      </c>
      <c r="F194" s="245">
        <f>SUM(F171,F160,F149,F138,F125,F114,F103,F90,F79,F68,F56,F45,F34,F23,F182)</f>
        <v>0</v>
      </c>
      <c r="G194" s="152">
        <f t="shared" si="40"/>
        <v>0</v>
      </c>
      <c r="H194" s="224"/>
      <c r="I194" s="224"/>
      <c r="J194" s="224"/>
      <c r="K194" s="224"/>
      <c r="L194" s="224"/>
      <c r="M194" s="246"/>
      <c r="N194" s="243"/>
    </row>
    <row r="195" spans="3:14" s="43" customFormat="1" ht="34.5" customHeight="1" x14ac:dyDescent="0.3">
      <c r="C195" s="149" t="s">
        <v>42</v>
      </c>
      <c r="D195" s="244">
        <f>SUM(D172,D161,D150,D139,D126,D115,D104,D91,D80,D69,D57,D46,D35,D24,D183)</f>
        <v>107600</v>
      </c>
      <c r="E195" s="245">
        <f>SUM(E172,E161,E150,E139,E126,E115,E104,E91,E80,E69,E57,E46,E35,E24,E183)</f>
        <v>45000</v>
      </c>
      <c r="F195" s="245">
        <f>SUM(F172,F161,F150,F139,F126,F115,F104,F91,F80,F69,F57,F46,F35,F24,F183)</f>
        <v>0</v>
      </c>
      <c r="G195" s="152">
        <f t="shared" si="40"/>
        <v>152600</v>
      </c>
      <c r="H195" s="224"/>
      <c r="I195" s="224"/>
      <c r="J195" s="224"/>
      <c r="K195" s="224"/>
      <c r="L195" s="224"/>
      <c r="M195" s="246"/>
      <c r="N195" s="243"/>
    </row>
    <row r="196" spans="3:14" s="43" customFormat="1" ht="22.5" customHeight="1" x14ac:dyDescent="0.3">
      <c r="C196" s="247" t="s">
        <v>43</v>
      </c>
      <c r="D196" s="248">
        <f>SUM(D189:D195)</f>
        <v>1582478</v>
      </c>
      <c r="E196" s="165">
        <f>SUM(E189:E195)</f>
        <v>753970.6</v>
      </c>
      <c r="F196" s="165">
        <f t="shared" ref="F196" si="41">SUM(F189:F195)</f>
        <v>0</v>
      </c>
      <c r="G196" s="152">
        <f>SUM(D196:F196)</f>
        <v>2336448.6</v>
      </c>
      <c r="H196" s="224"/>
      <c r="I196" s="224"/>
      <c r="J196" s="224"/>
      <c r="K196" s="224"/>
      <c r="L196" s="224"/>
      <c r="M196" s="246"/>
      <c r="N196" s="243"/>
    </row>
    <row r="197" spans="3:14" s="43" customFormat="1" ht="22.5" customHeight="1" x14ac:dyDescent="0.3">
      <c r="C197" s="247" t="s">
        <v>44</v>
      </c>
      <c r="D197" s="248">
        <f>D196*0.07</f>
        <v>110773.46</v>
      </c>
      <c r="E197" s="249">
        <f>E196*0.07</f>
        <v>52777.942000000003</v>
      </c>
      <c r="F197" s="249">
        <f t="shared" ref="F197:G197" si="42">F196*0.07</f>
        <v>0</v>
      </c>
      <c r="G197" s="250">
        <f t="shared" si="42"/>
        <v>163551.40200000003</v>
      </c>
      <c r="H197" s="224"/>
      <c r="I197" s="224"/>
      <c r="J197" s="224"/>
      <c r="K197" s="224"/>
      <c r="L197" s="224"/>
      <c r="M197" s="246"/>
      <c r="N197" s="243"/>
    </row>
    <row r="198" spans="3:14" s="43" customFormat="1" ht="22.5" customHeight="1" thickBot="1" x14ac:dyDescent="0.35">
      <c r="C198" s="164" t="s">
        <v>45</v>
      </c>
      <c r="D198" s="166">
        <f>SUM(D196:D197)</f>
        <v>1693251.46</v>
      </c>
      <c r="E198" s="162">
        <f>SUM(E196:E197)</f>
        <v>806748.54200000002</v>
      </c>
      <c r="F198" s="162">
        <f t="shared" ref="F198:G198" si="43">SUM(F196:F197)</f>
        <v>0</v>
      </c>
      <c r="G198" s="163">
        <f t="shared" si="43"/>
        <v>2500000.0020000003</v>
      </c>
      <c r="H198" s="224"/>
      <c r="I198" s="224"/>
      <c r="J198" s="224"/>
      <c r="K198" s="224"/>
      <c r="L198" s="224"/>
      <c r="M198" s="246"/>
      <c r="N198" s="243"/>
    </row>
    <row r="199" spans="3:14" s="43" customFormat="1" ht="15.75" customHeight="1" x14ac:dyDescent="0.3">
      <c r="C199" s="238"/>
      <c r="D199" s="239"/>
      <c r="E199" s="239"/>
      <c r="F199" s="239"/>
      <c r="G199" s="238"/>
      <c r="H199" s="26"/>
      <c r="I199" s="26"/>
      <c r="J199" s="26"/>
      <c r="K199" s="26"/>
      <c r="L199" s="251"/>
      <c r="M199" s="239"/>
      <c r="N199" s="243"/>
    </row>
    <row r="200" spans="3:14" s="43" customFormat="1" ht="15.75" customHeight="1" x14ac:dyDescent="0.3">
      <c r="C200" s="238"/>
      <c r="D200" s="239"/>
      <c r="E200" s="239"/>
      <c r="F200" s="239"/>
      <c r="G200" s="238"/>
      <c r="H200" s="26"/>
      <c r="I200" s="26"/>
      <c r="J200" s="26"/>
      <c r="K200" s="26"/>
      <c r="L200" s="251"/>
      <c r="M200" s="239"/>
      <c r="N200" s="243"/>
    </row>
    <row r="201" spans="3:14" ht="15.75" customHeight="1" x14ac:dyDescent="0.3">
      <c r="C201" s="238"/>
      <c r="D201" s="239"/>
      <c r="E201" s="239"/>
      <c r="F201" s="239"/>
      <c r="G201" s="238"/>
      <c r="H201" s="238"/>
      <c r="I201" s="238"/>
      <c r="J201" s="238"/>
      <c r="K201" s="238"/>
      <c r="L201" s="44"/>
      <c r="M201" s="238"/>
      <c r="N201" s="243"/>
    </row>
    <row r="202" spans="3:14" ht="15.75" customHeight="1" x14ac:dyDescent="0.3">
      <c r="C202" s="238"/>
      <c r="D202" s="239"/>
      <c r="E202" s="239"/>
      <c r="F202" s="239"/>
      <c r="G202" s="238"/>
      <c r="H202" s="255"/>
      <c r="I202" s="255"/>
      <c r="J202" s="238"/>
      <c r="K202" s="238"/>
      <c r="L202" s="44"/>
      <c r="M202" s="238"/>
      <c r="N202" s="243"/>
    </row>
    <row r="203" spans="3:14" ht="15.75" customHeight="1" x14ac:dyDescent="0.3">
      <c r="C203" s="238"/>
      <c r="D203" s="239"/>
      <c r="E203" s="239"/>
      <c r="F203" s="239"/>
      <c r="G203" s="238"/>
      <c r="H203" s="255"/>
      <c r="I203" s="255"/>
      <c r="J203" s="238"/>
      <c r="K203" s="238"/>
      <c r="L203" s="243"/>
      <c r="M203" s="238"/>
      <c r="N203" s="243"/>
    </row>
    <row r="204" spans="3:14" ht="40.5" customHeight="1" x14ac:dyDescent="0.3">
      <c r="C204" s="238"/>
      <c r="D204" s="239"/>
      <c r="E204" s="239"/>
      <c r="F204" s="239"/>
      <c r="G204" s="238"/>
      <c r="H204" s="255"/>
      <c r="I204" s="255"/>
      <c r="J204" s="238"/>
      <c r="K204" s="238"/>
      <c r="L204" s="45"/>
      <c r="M204" s="238"/>
      <c r="N204" s="243"/>
    </row>
    <row r="205" spans="3:14" ht="24.75" customHeight="1" x14ac:dyDescent="0.3">
      <c r="C205" s="238"/>
      <c r="D205" s="239"/>
      <c r="E205" s="239"/>
      <c r="F205" s="239"/>
      <c r="G205" s="238"/>
      <c r="H205" s="255"/>
      <c r="I205" s="255"/>
      <c r="J205" s="238"/>
      <c r="K205" s="238"/>
      <c r="L205" s="45"/>
      <c r="M205" s="238"/>
      <c r="N205" s="243"/>
    </row>
    <row r="206" spans="3:14" ht="41.25" customHeight="1" x14ac:dyDescent="0.3">
      <c r="C206" s="238"/>
      <c r="D206" s="239"/>
      <c r="E206" s="239"/>
      <c r="F206" s="239"/>
      <c r="G206" s="238"/>
      <c r="H206" s="252"/>
      <c r="I206" s="255"/>
      <c r="J206" s="238"/>
      <c r="K206" s="238"/>
      <c r="L206" s="45"/>
      <c r="M206" s="238"/>
      <c r="N206" s="243"/>
    </row>
    <row r="207" spans="3:14" ht="51.75" customHeight="1" x14ac:dyDescent="0.3">
      <c r="C207" s="238"/>
      <c r="D207" s="239"/>
      <c r="E207" s="239"/>
      <c r="F207" s="239"/>
      <c r="G207" s="238"/>
      <c r="H207" s="252"/>
      <c r="I207" s="255"/>
      <c r="J207" s="238"/>
      <c r="K207" s="238"/>
      <c r="L207" s="45"/>
      <c r="M207" s="238"/>
      <c r="N207" s="238"/>
    </row>
    <row r="208" spans="3:14" ht="42" customHeight="1" x14ac:dyDescent="0.3">
      <c r="C208" s="238"/>
      <c r="D208" s="239"/>
      <c r="E208" s="239"/>
      <c r="F208" s="239"/>
      <c r="G208" s="238"/>
      <c r="H208" s="255"/>
      <c r="I208" s="255"/>
      <c r="J208" s="238"/>
      <c r="K208" s="238"/>
      <c r="L208" s="45"/>
      <c r="M208" s="238"/>
      <c r="N208" s="238"/>
    </row>
    <row r="209" spans="3:14" s="41" customFormat="1" ht="42" customHeight="1" x14ac:dyDescent="0.3">
      <c r="C209" s="238"/>
      <c r="D209" s="239"/>
      <c r="E209" s="239"/>
      <c r="F209" s="239"/>
      <c r="G209" s="238"/>
      <c r="H209" s="243"/>
      <c r="I209" s="255"/>
      <c r="J209" s="238"/>
      <c r="K209" s="238"/>
      <c r="L209" s="45"/>
      <c r="M209" s="238"/>
      <c r="N209" s="239"/>
    </row>
    <row r="210" spans="3:14" s="41" customFormat="1" ht="42" customHeight="1" x14ac:dyDescent="0.3">
      <c r="C210" s="238"/>
      <c r="D210" s="239"/>
      <c r="E210" s="239"/>
      <c r="F210" s="239"/>
      <c r="G210" s="238"/>
      <c r="H210" s="238"/>
      <c r="I210" s="255"/>
      <c r="J210" s="238"/>
      <c r="K210" s="238"/>
      <c r="L210" s="238"/>
      <c r="M210" s="238"/>
      <c r="N210" s="239"/>
    </row>
    <row r="211" spans="3:14" s="41" customFormat="1" ht="63.75" customHeight="1" x14ac:dyDescent="0.3">
      <c r="C211" s="238"/>
      <c r="D211" s="239"/>
      <c r="E211" s="239"/>
      <c r="F211" s="239"/>
      <c r="G211" s="238"/>
      <c r="H211" s="238"/>
      <c r="I211" s="44"/>
      <c r="J211" s="243"/>
      <c r="K211" s="243"/>
      <c r="L211" s="238"/>
      <c r="M211" s="238"/>
      <c r="N211" s="239"/>
    </row>
    <row r="212" spans="3:14" s="41" customFormat="1" ht="42" customHeight="1" x14ac:dyDescent="0.3">
      <c r="C212" s="238"/>
      <c r="D212" s="239"/>
      <c r="E212" s="239"/>
      <c r="F212" s="239"/>
      <c r="G212" s="238"/>
      <c r="H212" s="238"/>
      <c r="I212" s="238"/>
      <c r="J212" s="238"/>
      <c r="K212" s="238"/>
      <c r="L212" s="238"/>
      <c r="M212" s="44"/>
      <c r="N212" s="239"/>
    </row>
    <row r="213" spans="3:14" ht="23.25" customHeight="1" x14ac:dyDescent="0.3">
      <c r="C213" s="238"/>
      <c r="D213" s="239"/>
      <c r="E213" s="239"/>
      <c r="F213" s="239"/>
      <c r="G213" s="238"/>
      <c r="H213" s="238"/>
      <c r="I213" s="238"/>
      <c r="J213" s="238"/>
      <c r="K213" s="238"/>
      <c r="L213" s="238"/>
      <c r="M213" s="238"/>
      <c r="N213" s="238"/>
    </row>
    <row r="214" spans="3:14" ht="27.75" customHeight="1" x14ac:dyDescent="0.3">
      <c r="C214" s="238"/>
      <c r="D214" s="239"/>
      <c r="E214" s="239"/>
      <c r="F214" s="239"/>
      <c r="G214" s="238"/>
      <c r="H214" s="238"/>
      <c r="I214" s="238"/>
      <c r="J214" s="238"/>
      <c r="K214" s="238"/>
      <c r="L214" s="243"/>
      <c r="M214" s="238"/>
      <c r="N214" s="238"/>
    </row>
    <row r="215" spans="3:14" ht="55.5" customHeight="1" x14ac:dyDescent="0.3">
      <c r="C215" s="238"/>
      <c r="D215" s="239"/>
      <c r="E215" s="239"/>
      <c r="F215" s="239"/>
      <c r="G215" s="238"/>
      <c r="H215" s="238"/>
      <c r="I215" s="238"/>
      <c r="J215" s="238"/>
      <c r="K215" s="238"/>
      <c r="L215" s="238"/>
      <c r="M215" s="238"/>
      <c r="N215" s="238"/>
    </row>
    <row r="216" spans="3:14" ht="57.75" customHeight="1" x14ac:dyDescent="0.3">
      <c r="C216" s="238"/>
      <c r="D216" s="239"/>
      <c r="E216" s="239"/>
      <c r="F216" s="239"/>
      <c r="G216" s="238"/>
      <c r="H216" s="238"/>
      <c r="I216" s="238"/>
      <c r="J216" s="238"/>
      <c r="K216" s="238"/>
      <c r="L216" s="238"/>
      <c r="M216" s="243"/>
      <c r="N216" s="238"/>
    </row>
    <row r="217" spans="3:14" ht="21.75" customHeight="1" x14ac:dyDescent="0.3">
      <c r="C217" s="238"/>
      <c r="D217" s="239"/>
      <c r="E217" s="239"/>
      <c r="F217" s="239"/>
      <c r="G217" s="238"/>
      <c r="H217" s="238"/>
      <c r="I217" s="238"/>
      <c r="J217" s="238"/>
      <c r="K217" s="238"/>
      <c r="L217" s="238"/>
      <c r="M217" s="238"/>
      <c r="N217" s="238"/>
    </row>
    <row r="218" spans="3:14" ht="49.5" customHeight="1" x14ac:dyDescent="0.3">
      <c r="C218" s="238"/>
      <c r="D218" s="239"/>
      <c r="E218" s="239"/>
      <c r="F218" s="239"/>
      <c r="G218" s="238"/>
      <c r="H218" s="238"/>
      <c r="I218" s="238"/>
      <c r="J218" s="238"/>
      <c r="K218" s="238"/>
      <c r="L218" s="238"/>
      <c r="M218" s="238"/>
      <c r="N218" s="238"/>
    </row>
    <row r="219" spans="3:14" ht="28.5" customHeight="1" x14ac:dyDescent="0.3">
      <c r="C219" s="238"/>
      <c r="D219" s="239"/>
      <c r="E219" s="239"/>
      <c r="F219" s="239"/>
      <c r="G219" s="238"/>
      <c r="H219" s="238"/>
      <c r="I219" s="238"/>
      <c r="J219" s="238"/>
      <c r="K219" s="238"/>
      <c r="L219" s="238"/>
      <c r="M219" s="238"/>
      <c r="N219" s="238"/>
    </row>
    <row r="220" spans="3:14" ht="28.5" customHeight="1" x14ac:dyDescent="0.3">
      <c r="C220" s="238"/>
      <c r="D220" s="239"/>
      <c r="E220" s="239"/>
      <c r="F220" s="239"/>
      <c r="G220" s="238"/>
      <c r="H220" s="238"/>
      <c r="I220" s="238"/>
      <c r="J220" s="238"/>
      <c r="K220" s="238"/>
      <c r="L220" s="238"/>
      <c r="M220" s="238"/>
      <c r="N220" s="238"/>
    </row>
    <row r="221" spans="3:14" ht="28.5" customHeight="1" x14ac:dyDescent="0.3">
      <c r="C221" s="238"/>
      <c r="D221" s="239"/>
      <c r="E221" s="239"/>
      <c r="F221" s="239"/>
      <c r="G221" s="238"/>
      <c r="H221" s="238"/>
      <c r="I221" s="238"/>
      <c r="J221" s="238"/>
      <c r="K221" s="238"/>
      <c r="L221" s="238"/>
      <c r="M221" s="238"/>
      <c r="N221" s="238"/>
    </row>
    <row r="222" spans="3:14" ht="23.25" customHeight="1" x14ac:dyDescent="0.3">
      <c r="C222" s="238"/>
      <c r="D222" s="239"/>
      <c r="E222" s="239"/>
      <c r="F222" s="239"/>
      <c r="G222" s="238"/>
      <c r="H222" s="238"/>
      <c r="I222" s="238"/>
      <c r="J222" s="238"/>
      <c r="K222" s="238"/>
      <c r="L222" s="238"/>
      <c r="M222" s="238"/>
      <c r="N222" s="44"/>
    </row>
    <row r="223" spans="3:14" ht="43.5" customHeight="1" x14ac:dyDescent="0.3">
      <c r="C223" s="238"/>
      <c r="D223" s="239"/>
      <c r="E223" s="239"/>
      <c r="F223" s="239"/>
      <c r="G223" s="238"/>
      <c r="H223" s="238"/>
      <c r="I223" s="238"/>
      <c r="J223" s="238"/>
      <c r="K223" s="238"/>
      <c r="L223" s="238"/>
      <c r="M223" s="238"/>
      <c r="N223" s="44"/>
    </row>
    <row r="224" spans="3:14" ht="55.5" customHeight="1" x14ac:dyDescent="0.3">
      <c r="C224" s="238"/>
      <c r="D224" s="239"/>
      <c r="E224" s="239"/>
      <c r="F224" s="239"/>
      <c r="G224" s="238"/>
      <c r="H224" s="238"/>
      <c r="I224" s="238"/>
      <c r="J224" s="238"/>
      <c r="K224" s="238"/>
      <c r="L224" s="238"/>
      <c r="M224" s="238"/>
      <c r="N224" s="238"/>
    </row>
    <row r="225" spans="3:14" ht="42.75" customHeight="1" x14ac:dyDescent="0.3">
      <c r="C225" s="238"/>
      <c r="D225" s="239"/>
      <c r="E225" s="239"/>
      <c r="F225" s="239"/>
      <c r="G225" s="238"/>
      <c r="H225" s="238"/>
      <c r="I225" s="238"/>
      <c r="J225" s="238"/>
      <c r="K225" s="238"/>
      <c r="L225" s="238"/>
      <c r="M225" s="238"/>
      <c r="N225" s="44"/>
    </row>
    <row r="226" spans="3:14" ht="21.75" customHeight="1" x14ac:dyDescent="0.3">
      <c r="C226" s="238"/>
      <c r="D226" s="239"/>
      <c r="E226" s="239"/>
      <c r="F226" s="239"/>
      <c r="G226" s="238"/>
      <c r="H226" s="238"/>
      <c r="I226" s="238"/>
      <c r="J226" s="238"/>
      <c r="K226" s="238"/>
      <c r="L226" s="238"/>
      <c r="M226" s="238"/>
      <c r="N226" s="44"/>
    </row>
    <row r="227" spans="3:14" ht="21.75" customHeight="1" x14ac:dyDescent="0.3">
      <c r="C227" s="238"/>
      <c r="D227" s="239"/>
      <c r="E227" s="239"/>
      <c r="F227" s="239"/>
      <c r="G227" s="238"/>
      <c r="H227" s="238"/>
      <c r="I227" s="238"/>
      <c r="J227" s="238"/>
      <c r="K227" s="238"/>
      <c r="L227" s="238"/>
      <c r="M227" s="238"/>
      <c r="N227" s="44"/>
    </row>
    <row r="228" spans="3:14" s="43" customFormat="1" ht="23.25" customHeight="1" x14ac:dyDescent="0.3">
      <c r="C228" s="238"/>
      <c r="D228" s="239"/>
      <c r="E228" s="239"/>
      <c r="F228" s="239"/>
      <c r="G228" s="238"/>
      <c r="H228" s="238"/>
      <c r="I228" s="238"/>
      <c r="J228" s="238"/>
      <c r="K228" s="238"/>
      <c r="L228" s="238"/>
      <c r="M228" s="238"/>
      <c r="N228" s="243"/>
    </row>
    <row r="229" spans="3:14" ht="23.25" customHeight="1" x14ac:dyDescent="0.3">
      <c r="C229" s="238"/>
      <c r="D229" s="239"/>
      <c r="E229" s="239"/>
      <c r="F229" s="239"/>
      <c r="G229" s="238"/>
      <c r="H229" s="238"/>
      <c r="I229" s="238"/>
      <c r="J229" s="238"/>
      <c r="K229" s="238"/>
      <c r="L229" s="238"/>
      <c r="M229" s="238"/>
      <c r="N229" s="243"/>
    </row>
    <row r="230" spans="3:14" ht="21.75" customHeight="1" x14ac:dyDescent="0.3">
      <c r="C230" s="238"/>
      <c r="D230" s="239"/>
      <c r="E230" s="239"/>
      <c r="F230" s="239"/>
      <c r="G230" s="238"/>
      <c r="H230" s="238"/>
      <c r="I230" s="238"/>
      <c r="J230" s="238"/>
      <c r="K230" s="238"/>
      <c r="L230" s="238"/>
      <c r="M230" s="238"/>
      <c r="N230" s="243"/>
    </row>
    <row r="231" spans="3:14" ht="16.5" customHeight="1" x14ac:dyDescent="0.3">
      <c r="C231" s="238"/>
      <c r="D231" s="239"/>
      <c r="E231" s="239"/>
      <c r="F231" s="239"/>
      <c r="G231" s="238"/>
      <c r="H231" s="238"/>
      <c r="I231" s="238"/>
      <c r="J231" s="238"/>
      <c r="K231" s="238"/>
      <c r="L231" s="238"/>
      <c r="M231" s="238"/>
      <c r="N231" s="243"/>
    </row>
    <row r="232" spans="3:14" ht="29.25" customHeight="1" x14ac:dyDescent="0.3">
      <c r="C232" s="238"/>
      <c r="D232" s="239"/>
      <c r="E232" s="239"/>
      <c r="F232" s="239"/>
      <c r="G232" s="238"/>
      <c r="H232" s="238"/>
      <c r="I232" s="238"/>
      <c r="J232" s="238"/>
      <c r="K232" s="238"/>
      <c r="L232" s="238"/>
      <c r="M232" s="238"/>
      <c r="N232" s="243"/>
    </row>
    <row r="233" spans="3:14" ht="24.75" customHeight="1" x14ac:dyDescent="0.3">
      <c r="C233" s="238"/>
      <c r="D233" s="239"/>
      <c r="E233" s="239"/>
      <c r="F233" s="239"/>
      <c r="G233" s="238"/>
      <c r="H233" s="238"/>
      <c r="I233" s="238"/>
      <c r="J233" s="238"/>
      <c r="K233" s="238"/>
      <c r="L233" s="238"/>
      <c r="M233" s="238"/>
      <c r="N233" s="243"/>
    </row>
    <row r="234" spans="3:14" ht="33" customHeight="1" x14ac:dyDescent="0.3">
      <c r="C234" s="238"/>
      <c r="D234" s="239"/>
      <c r="E234" s="239"/>
      <c r="F234" s="239"/>
      <c r="G234" s="238"/>
      <c r="H234" s="238"/>
      <c r="I234" s="238"/>
      <c r="J234" s="238"/>
      <c r="K234" s="238"/>
      <c r="L234" s="238"/>
      <c r="M234" s="238"/>
      <c r="N234" s="243"/>
    </row>
    <row r="236" spans="3:14" ht="15" customHeight="1" x14ac:dyDescent="0.3">
      <c r="C236" s="238"/>
      <c r="D236" s="239"/>
      <c r="E236" s="239"/>
      <c r="F236" s="239"/>
      <c r="G236" s="238"/>
      <c r="H236" s="238"/>
      <c r="I236" s="238"/>
      <c r="J236" s="238"/>
      <c r="K236" s="238"/>
      <c r="L236" s="238"/>
      <c r="M236" s="238"/>
      <c r="N236" s="243"/>
    </row>
    <row r="237" spans="3:14" ht="25.5" customHeight="1" x14ac:dyDescent="0.3">
      <c r="C237" s="238"/>
      <c r="D237" s="239"/>
      <c r="E237" s="239"/>
      <c r="F237" s="239"/>
      <c r="G237" s="238"/>
      <c r="H237" s="238"/>
      <c r="I237" s="238"/>
      <c r="J237" s="238"/>
      <c r="K237" s="238"/>
      <c r="L237" s="238"/>
      <c r="M237" s="238"/>
      <c r="N237" s="243"/>
    </row>
  </sheetData>
  <sheetProtection formatCells="0" formatColumns="0" formatRows="0"/>
  <mergeCells count="26">
    <mergeCell ref="C2:F2"/>
    <mergeCell ref="C11:F11"/>
    <mergeCell ref="B15:G15"/>
    <mergeCell ref="C16:G16"/>
    <mergeCell ref="B60:G60"/>
    <mergeCell ref="G13:G14"/>
    <mergeCell ref="C5:G5"/>
    <mergeCell ref="C27:G27"/>
    <mergeCell ref="C38:G38"/>
    <mergeCell ref="C49:G49"/>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workbookViewId="0">
      <selection activeCell="B9" sqref="B9"/>
    </sheetView>
  </sheetViews>
  <sheetFormatPr baseColWidth="10" defaultColWidth="8.88671875" defaultRowHeight="14.4" x14ac:dyDescent="0.3"/>
  <cols>
    <col min="1" max="1" width="9" customWidth="1"/>
    <col min="2" max="2" width="73.33203125" customWidth="1"/>
  </cols>
  <sheetData>
    <row r="1" spans="1:6" x14ac:dyDescent="0.3">
      <c r="A1" s="1"/>
      <c r="B1" s="1"/>
      <c r="C1" s="1"/>
      <c r="D1" s="1"/>
      <c r="E1" s="132"/>
      <c r="F1" s="132"/>
    </row>
    <row r="2" spans="1:6" ht="15" thickBot="1" x14ac:dyDescent="0.35">
      <c r="A2" s="1"/>
      <c r="B2" s="1"/>
      <c r="C2" s="1"/>
      <c r="D2" s="1"/>
      <c r="E2" s="1"/>
      <c r="F2" s="1"/>
    </row>
    <row r="3" spans="1:6" ht="15" thickBot="1" x14ac:dyDescent="0.35">
      <c r="A3" s="1"/>
      <c r="B3" s="114" t="s">
        <v>153</v>
      </c>
      <c r="C3" s="1"/>
      <c r="D3" s="1"/>
      <c r="E3" s="132"/>
      <c r="F3" s="132"/>
    </row>
    <row r="4" spans="1:6" ht="54" customHeight="1" x14ac:dyDescent="0.3">
      <c r="A4" s="1"/>
      <c r="B4" s="115" t="s">
        <v>154</v>
      </c>
      <c r="C4" s="1"/>
      <c r="D4" s="1"/>
      <c r="E4" s="132"/>
      <c r="F4" s="132"/>
    </row>
    <row r="5" spans="1:6" ht="63.75" customHeight="1" x14ac:dyDescent="0.3">
      <c r="A5" s="1"/>
      <c r="B5" s="112" t="s">
        <v>155</v>
      </c>
      <c r="C5" s="1"/>
      <c r="D5" s="1"/>
      <c r="E5" s="132"/>
      <c r="F5" s="132"/>
    </row>
    <row r="6" spans="1:6" x14ac:dyDescent="0.3">
      <c r="A6" s="1"/>
      <c r="B6" s="112"/>
      <c r="C6" s="1"/>
      <c r="D6" s="1"/>
      <c r="E6" s="132"/>
      <c r="F6" s="132"/>
    </row>
    <row r="7" spans="1:6" ht="57.6" x14ac:dyDescent="0.3">
      <c r="A7" s="1"/>
      <c r="B7" s="111" t="s">
        <v>156</v>
      </c>
      <c r="C7" s="1"/>
      <c r="D7" s="1"/>
      <c r="E7" s="132"/>
      <c r="F7" s="132"/>
    </row>
    <row r="8" spans="1:6" x14ac:dyDescent="0.3">
      <c r="A8" s="1"/>
      <c r="B8" s="112"/>
      <c r="C8" s="1"/>
      <c r="D8" s="1"/>
      <c r="E8" s="132"/>
      <c r="F8" s="132"/>
    </row>
    <row r="9" spans="1:6" ht="72" x14ac:dyDescent="0.3">
      <c r="A9" s="1"/>
      <c r="B9" s="111" t="s">
        <v>157</v>
      </c>
      <c r="C9" s="1"/>
      <c r="D9" s="1"/>
      <c r="E9" s="132"/>
      <c r="F9" s="132"/>
    </row>
    <row r="10" spans="1:6" x14ac:dyDescent="0.3">
      <c r="A10" s="1"/>
      <c r="B10" s="112"/>
      <c r="C10" s="1"/>
      <c r="D10" s="1"/>
      <c r="E10" s="132"/>
      <c r="F10" s="132"/>
    </row>
    <row r="11" spans="1:6" ht="28.8" x14ac:dyDescent="0.3">
      <c r="A11" s="1"/>
      <c r="B11" s="112" t="s">
        <v>158</v>
      </c>
      <c r="C11" s="1"/>
      <c r="D11" s="1"/>
      <c r="E11" s="132"/>
      <c r="F11" s="132"/>
    </row>
    <row r="12" spans="1:6" x14ac:dyDescent="0.3">
      <c r="A12" s="1"/>
      <c r="B12" s="112"/>
      <c r="C12" s="1"/>
      <c r="D12" s="1"/>
      <c r="E12" s="132"/>
      <c r="F12" s="132"/>
    </row>
    <row r="13" spans="1:6" ht="72" x14ac:dyDescent="0.3">
      <c r="A13" s="1"/>
      <c r="B13" s="111" t="s">
        <v>159</v>
      </c>
      <c r="C13" s="1"/>
      <c r="D13" s="1"/>
      <c r="E13" s="132"/>
      <c r="F13" s="132"/>
    </row>
    <row r="14" spans="1:6" x14ac:dyDescent="0.3">
      <c r="A14" s="1"/>
      <c r="B14" s="112"/>
      <c r="C14" s="1"/>
      <c r="D14" s="1"/>
      <c r="E14" s="132"/>
      <c r="F14" s="132"/>
    </row>
    <row r="15" spans="1:6" ht="58.2" thickBot="1" x14ac:dyDescent="0.35">
      <c r="A15" s="1"/>
      <c r="B15" s="113" t="s">
        <v>160</v>
      </c>
      <c r="C15" s="1"/>
      <c r="D15" s="1"/>
      <c r="E15" s="132"/>
      <c r="F15" s="132"/>
    </row>
    <row r="16" spans="1:6" x14ac:dyDescent="0.3">
      <c r="A16" s="1"/>
      <c r="B16" s="1"/>
      <c r="C16" s="1"/>
      <c r="D16" s="1"/>
      <c r="E16" s="132"/>
      <c r="F16" s="132"/>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14" zoomScale="80" zoomScaleNormal="80" zoomScaleSheetLayoutView="70" workbookViewId="0">
      <selection activeCell="C29" sqref="C29:D29"/>
    </sheetView>
  </sheetViews>
  <sheetFormatPr baseColWidth="10" defaultColWidth="8.88671875" defaultRowHeight="14.4" x14ac:dyDescent="0.3"/>
  <cols>
    <col min="2" max="2" width="61.88671875" customWidth="1"/>
    <col min="4" max="4" width="17.88671875" customWidth="1"/>
  </cols>
  <sheetData>
    <row r="1" spans="2:4" ht="15" thickBot="1" x14ac:dyDescent="0.35">
      <c r="B1" s="132"/>
      <c r="C1" s="132"/>
      <c r="D1" s="132"/>
    </row>
    <row r="2" spans="2:4" x14ac:dyDescent="0.3">
      <c r="B2" s="545" t="s">
        <v>161</v>
      </c>
      <c r="C2" s="546"/>
      <c r="D2" s="547"/>
    </row>
    <row r="3" spans="2:4" ht="15" thickBot="1" x14ac:dyDescent="0.35">
      <c r="B3" s="548"/>
      <c r="C3" s="549"/>
      <c r="D3" s="550"/>
    </row>
    <row r="4" spans="2:4" ht="15" thickBot="1" x14ac:dyDescent="0.35">
      <c r="B4" s="132"/>
      <c r="C4" s="132"/>
      <c r="D4" s="132"/>
    </row>
    <row r="5" spans="2:4" x14ac:dyDescent="0.3">
      <c r="B5" s="556" t="s">
        <v>162</v>
      </c>
      <c r="C5" s="557"/>
      <c r="D5" s="558"/>
    </row>
    <row r="6" spans="2:4" ht="15" thickBot="1" x14ac:dyDescent="0.35">
      <c r="B6" s="553"/>
      <c r="C6" s="554"/>
      <c r="D6" s="555"/>
    </row>
    <row r="7" spans="2:4" x14ac:dyDescent="0.3">
      <c r="B7" s="66" t="s">
        <v>163</v>
      </c>
      <c r="C7" s="551">
        <f>SUM('1) Tableau budgétaire 1'!D37:F37,'1) Tableau budgétaire 1'!D67:F67,'1) Tableau budgétaire 1'!D83:F83,'1) Tableau budgétaire 1'!D131:F131)</f>
        <v>916700</v>
      </c>
      <c r="D7" s="552"/>
    </row>
    <row r="8" spans="2:4" x14ac:dyDescent="0.3">
      <c r="B8" s="66" t="s">
        <v>164</v>
      </c>
      <c r="C8" s="559">
        <f>SUM(D10:D14)</f>
        <v>0</v>
      </c>
      <c r="D8" s="560"/>
    </row>
    <row r="9" spans="2:4" x14ac:dyDescent="0.3">
      <c r="B9" s="67" t="s">
        <v>165</v>
      </c>
      <c r="C9" s="68" t="s">
        <v>166</v>
      </c>
      <c r="D9" s="69" t="s">
        <v>167</v>
      </c>
    </row>
    <row r="10" spans="2:4" ht="35.1" customHeight="1" x14ac:dyDescent="0.3">
      <c r="B10" s="86"/>
      <c r="C10" s="71"/>
      <c r="D10" s="72">
        <f>$C$7*C10</f>
        <v>0</v>
      </c>
    </row>
    <row r="11" spans="2:4" ht="35.1" customHeight="1" x14ac:dyDescent="0.3">
      <c r="B11" s="86"/>
      <c r="C11" s="71"/>
      <c r="D11" s="72">
        <f>C7*C11</f>
        <v>0</v>
      </c>
    </row>
    <row r="12" spans="2:4" ht="35.1" customHeight="1" x14ac:dyDescent="0.3">
      <c r="B12" s="87"/>
      <c r="C12" s="71"/>
      <c r="D12" s="72">
        <f>C7*C12</f>
        <v>0</v>
      </c>
    </row>
    <row r="13" spans="2:4" ht="35.1" customHeight="1" x14ac:dyDescent="0.3">
      <c r="B13" s="87"/>
      <c r="C13" s="71"/>
      <c r="D13" s="72">
        <f>C7*C13</f>
        <v>0</v>
      </c>
    </row>
    <row r="14" spans="2:4" ht="35.1" customHeight="1" thickBot="1" x14ac:dyDescent="0.35">
      <c r="B14" s="88"/>
      <c r="C14" s="76"/>
      <c r="D14" s="77">
        <f>C7*C14</f>
        <v>0</v>
      </c>
    </row>
    <row r="15" spans="2:4" ht="15" thickBot="1" x14ac:dyDescent="0.35">
      <c r="B15" s="132"/>
      <c r="C15" s="132"/>
      <c r="D15" s="132"/>
    </row>
    <row r="16" spans="2:4" x14ac:dyDescent="0.3">
      <c r="B16" s="556" t="s">
        <v>168</v>
      </c>
      <c r="C16" s="557"/>
      <c r="D16" s="558"/>
    </row>
    <row r="17" spans="2:4" ht="15" thickBot="1" x14ac:dyDescent="0.35">
      <c r="B17" s="561"/>
      <c r="C17" s="562"/>
      <c r="D17" s="563"/>
    </row>
    <row r="18" spans="2:4" x14ac:dyDescent="0.3">
      <c r="B18" s="66" t="s">
        <v>163</v>
      </c>
      <c r="C18" s="551">
        <f>SUM('1) Tableau budgétaire 1'!D231:F231,'1) Tableau budgétaire 1'!D273:F273,'1) Tableau budgétaire 1'!D285:F285,)</f>
        <v>153000</v>
      </c>
      <c r="D18" s="552"/>
    </row>
    <row r="19" spans="2:4" x14ac:dyDescent="0.3">
      <c r="B19" s="66" t="s">
        <v>164</v>
      </c>
      <c r="C19" s="559">
        <f>SUM(D21:D25)</f>
        <v>0</v>
      </c>
      <c r="D19" s="560"/>
    </row>
    <row r="20" spans="2:4" x14ac:dyDescent="0.3">
      <c r="B20" s="67" t="s">
        <v>165</v>
      </c>
      <c r="C20" s="68" t="s">
        <v>166</v>
      </c>
      <c r="D20" s="69" t="s">
        <v>167</v>
      </c>
    </row>
    <row r="21" spans="2:4" ht="35.1" customHeight="1" x14ac:dyDescent="0.3">
      <c r="B21" s="70"/>
      <c r="C21" s="71"/>
      <c r="D21" s="72">
        <f>$C$18*C21</f>
        <v>0</v>
      </c>
    </row>
    <row r="22" spans="2:4" ht="35.1" customHeight="1" x14ac:dyDescent="0.3">
      <c r="B22" s="73"/>
      <c r="C22" s="71"/>
      <c r="D22" s="72">
        <f t="shared" ref="D22:D25" si="0">$C$18*C22</f>
        <v>0</v>
      </c>
    </row>
    <row r="23" spans="2:4" ht="35.1" customHeight="1" x14ac:dyDescent="0.3">
      <c r="B23" s="74"/>
      <c r="C23" s="71"/>
      <c r="D23" s="72">
        <f t="shared" si="0"/>
        <v>0</v>
      </c>
    </row>
    <row r="24" spans="2:4" ht="35.1" customHeight="1" x14ac:dyDescent="0.3">
      <c r="B24" s="74"/>
      <c r="C24" s="71"/>
      <c r="D24" s="72">
        <f t="shared" si="0"/>
        <v>0</v>
      </c>
    </row>
    <row r="25" spans="2:4" ht="35.1" customHeight="1" thickBot="1" x14ac:dyDescent="0.35">
      <c r="B25" s="75"/>
      <c r="C25" s="76"/>
      <c r="D25" s="72">
        <f t="shared" si="0"/>
        <v>0</v>
      </c>
    </row>
    <row r="26" spans="2:4" ht="15" thickBot="1" x14ac:dyDescent="0.35">
      <c r="B26" s="132"/>
      <c r="C26" s="132"/>
      <c r="D26" s="132"/>
    </row>
    <row r="27" spans="2:4" x14ac:dyDescent="0.3">
      <c r="B27" s="556" t="s">
        <v>169</v>
      </c>
      <c r="C27" s="557"/>
      <c r="D27" s="558"/>
    </row>
    <row r="28" spans="2:4" ht="15" thickBot="1" x14ac:dyDescent="0.35">
      <c r="B28" s="553"/>
      <c r="C28" s="554"/>
      <c r="D28" s="555"/>
    </row>
    <row r="29" spans="2:4" x14ac:dyDescent="0.3">
      <c r="B29" s="66" t="s">
        <v>163</v>
      </c>
      <c r="C29" s="551">
        <f>SUM('1) Tableau budgétaire 1'!D304:F304,'1) Tableau budgétaire 1'!D323:F323,'1) Tableau budgétaire 1'!D335:F335)</f>
        <v>521120</v>
      </c>
      <c r="D29" s="552"/>
    </row>
    <row r="30" spans="2:4" x14ac:dyDescent="0.3">
      <c r="B30" s="66" t="s">
        <v>164</v>
      </c>
      <c r="C30" s="559">
        <f>SUM(D32:D36)</f>
        <v>0</v>
      </c>
      <c r="D30" s="560"/>
    </row>
    <row r="31" spans="2:4" x14ac:dyDescent="0.3">
      <c r="B31" s="67" t="s">
        <v>165</v>
      </c>
      <c r="C31" s="68" t="s">
        <v>166</v>
      </c>
      <c r="D31" s="69" t="s">
        <v>167</v>
      </c>
    </row>
    <row r="32" spans="2:4" ht="35.1" customHeight="1" x14ac:dyDescent="0.3">
      <c r="B32" s="70"/>
      <c r="C32" s="71"/>
      <c r="D32" s="72">
        <f>$C$29*C32</f>
        <v>0</v>
      </c>
    </row>
    <row r="33" spans="2:4" ht="35.1" customHeight="1" x14ac:dyDescent="0.3">
      <c r="B33" s="73"/>
      <c r="C33" s="71"/>
      <c r="D33" s="72">
        <f t="shared" ref="D33:D36" si="1">$C$29*C33</f>
        <v>0</v>
      </c>
    </row>
    <row r="34" spans="2:4" ht="35.1" customHeight="1" x14ac:dyDescent="0.3">
      <c r="B34" s="74"/>
      <c r="C34" s="71"/>
      <c r="D34" s="72">
        <f t="shared" si="1"/>
        <v>0</v>
      </c>
    </row>
    <row r="35" spans="2:4" ht="35.1" customHeight="1" x14ac:dyDescent="0.3">
      <c r="B35" s="74"/>
      <c r="C35" s="71"/>
      <c r="D35" s="72">
        <f t="shared" si="1"/>
        <v>0</v>
      </c>
    </row>
    <row r="36" spans="2:4" ht="35.1" customHeight="1" thickBot="1" x14ac:dyDescent="0.35">
      <c r="B36" s="75"/>
      <c r="C36" s="76"/>
      <c r="D36" s="72">
        <f t="shared" si="1"/>
        <v>0</v>
      </c>
    </row>
    <row r="37" spans="2:4" ht="15" thickBot="1" x14ac:dyDescent="0.35">
      <c r="B37" s="132"/>
      <c r="C37" s="132"/>
      <c r="D37" s="132"/>
    </row>
    <row r="38" spans="2:4" x14ac:dyDescent="0.3">
      <c r="B38" s="556" t="s">
        <v>170</v>
      </c>
      <c r="C38" s="557"/>
      <c r="D38" s="558"/>
    </row>
    <row r="39" spans="2:4" ht="15" thickBot="1" x14ac:dyDescent="0.35">
      <c r="B39" s="553"/>
      <c r="C39" s="554"/>
      <c r="D39" s="555"/>
    </row>
    <row r="40" spans="2:4" x14ac:dyDescent="0.3">
      <c r="B40" s="66" t="s">
        <v>163</v>
      </c>
      <c r="C40" s="551">
        <f>SUM('1) Tableau budgétaire 1'!D364:F364,'1) Tableau budgétaire 1'!D391:F391,'1) Tableau budgétaire 1'!D419:F419,'1) Tableau budgétaire 1'!D431:F431)</f>
        <v>0</v>
      </c>
      <c r="D40" s="552"/>
    </row>
    <row r="41" spans="2:4" x14ac:dyDescent="0.3">
      <c r="B41" s="66" t="s">
        <v>164</v>
      </c>
      <c r="C41" s="559">
        <f>SUM(D43:D47)</f>
        <v>0</v>
      </c>
      <c r="D41" s="560"/>
    </row>
    <row r="42" spans="2:4" x14ac:dyDescent="0.3">
      <c r="B42" s="67" t="s">
        <v>165</v>
      </c>
      <c r="C42" s="68" t="s">
        <v>166</v>
      </c>
      <c r="D42" s="69" t="s">
        <v>167</v>
      </c>
    </row>
    <row r="43" spans="2:4" ht="35.1" customHeight="1" x14ac:dyDescent="0.3">
      <c r="B43" s="70"/>
      <c r="C43" s="71"/>
      <c r="D43" s="72">
        <f>$C$40*C43</f>
        <v>0</v>
      </c>
    </row>
    <row r="44" spans="2:4" ht="35.1" customHeight="1" x14ac:dyDescent="0.3">
      <c r="B44" s="73"/>
      <c r="C44" s="71"/>
      <c r="D44" s="72">
        <f t="shared" ref="D44:D47" si="2">$C$40*C44</f>
        <v>0</v>
      </c>
    </row>
    <row r="45" spans="2:4" ht="35.1" customHeight="1" x14ac:dyDescent="0.3">
      <c r="B45" s="74"/>
      <c r="C45" s="71"/>
      <c r="D45" s="72">
        <f t="shared" si="2"/>
        <v>0</v>
      </c>
    </row>
    <row r="46" spans="2:4" ht="35.1" customHeight="1" x14ac:dyDescent="0.3">
      <c r="B46" s="74"/>
      <c r="C46" s="71"/>
      <c r="D46" s="72">
        <f t="shared" si="2"/>
        <v>0</v>
      </c>
    </row>
    <row r="47" spans="2:4" ht="35.1" customHeight="1" thickBot="1" x14ac:dyDescent="0.35">
      <c r="B47" s="75"/>
      <c r="C47" s="76"/>
      <c r="D47" s="7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4"/>
  <sheetViews>
    <sheetView showGridLines="0" showZeros="0" topLeftCell="A10" zoomScale="80" zoomScaleNormal="80" workbookViewId="0">
      <selection activeCell="D22" sqref="D22:D23"/>
    </sheetView>
  </sheetViews>
  <sheetFormatPr baseColWidth="10" defaultColWidth="8.88671875" defaultRowHeight="14.4" x14ac:dyDescent="0.3"/>
  <cols>
    <col min="1" max="1" width="12.44140625" customWidth="1"/>
    <col min="2" max="2" width="30.33203125" customWidth="1"/>
    <col min="3" max="4" width="25.44140625" customWidth="1"/>
    <col min="5"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c r="B1" s="132"/>
      <c r="C1" s="132"/>
      <c r="D1" s="132"/>
      <c r="E1" s="132"/>
      <c r="F1" s="132"/>
    </row>
    <row r="2" spans="2:6" s="59" customFormat="1" ht="15.6" x14ac:dyDescent="0.3">
      <c r="B2" s="566" t="s">
        <v>171</v>
      </c>
      <c r="C2" s="567"/>
      <c r="D2" s="567"/>
      <c r="E2" s="567"/>
      <c r="F2" s="568"/>
    </row>
    <row r="3" spans="2:6" s="59" customFormat="1" ht="16.2" thickBot="1" x14ac:dyDescent="0.35">
      <c r="B3" s="569"/>
      <c r="C3" s="570"/>
      <c r="D3" s="570"/>
      <c r="E3" s="570"/>
      <c r="F3" s="571"/>
    </row>
    <row r="4" spans="2:6" s="59" customFormat="1" ht="16.2" thickBot="1" x14ac:dyDescent="0.35">
      <c r="B4" s="253"/>
      <c r="C4" s="253"/>
      <c r="D4" s="253"/>
      <c r="E4" s="253"/>
      <c r="F4" s="253"/>
    </row>
    <row r="5" spans="2:6" s="59" customFormat="1" ht="16.2" thickBot="1" x14ac:dyDescent="0.35">
      <c r="B5" s="435" t="s">
        <v>152</v>
      </c>
      <c r="C5" s="436"/>
      <c r="D5" s="436"/>
      <c r="E5" s="436"/>
      <c r="F5" s="437"/>
    </row>
    <row r="6" spans="2:6" s="59" customFormat="1" ht="15.6" x14ac:dyDescent="0.3">
      <c r="B6" s="153"/>
      <c r="C6" s="102" t="s">
        <v>172</v>
      </c>
      <c r="D6" s="101" t="s">
        <v>173</v>
      </c>
      <c r="E6" s="46" t="s">
        <v>174</v>
      </c>
      <c r="F6" s="572" t="s">
        <v>152</v>
      </c>
    </row>
    <row r="7" spans="2:6" s="59" customFormat="1" ht="15.6" x14ac:dyDescent="0.3">
      <c r="B7" s="153"/>
      <c r="C7" s="103" t="str">
        <f>'1) Tableau budgétaire 1'!D13</f>
        <v>PNUD</v>
      </c>
      <c r="D7" s="103" t="str">
        <f>'1) Tableau budgétaire 1'!E13</f>
        <v>ONUDC</v>
      </c>
      <c r="E7" s="103">
        <f>'1) Tableau budgétaire 1'!F13</f>
        <v>0</v>
      </c>
      <c r="F7" s="439"/>
    </row>
    <row r="8" spans="2:6" s="59" customFormat="1" ht="15.6" x14ac:dyDescent="0.3">
      <c r="B8" s="12" t="s">
        <v>175</v>
      </c>
      <c r="C8" s="407">
        <f>'2) Tableau budgétaire 2'!D189</f>
        <v>120000</v>
      </c>
      <c r="D8" s="408">
        <f>'2) Tableau budgétaire 2'!E189</f>
        <v>131200.6</v>
      </c>
      <c r="E8" s="409">
        <f>'2) Tableau budgétaire 2'!F189</f>
        <v>0</v>
      </c>
      <c r="F8" s="410">
        <f t="shared" ref="F8:F15" si="0">SUM(C8:E8)</f>
        <v>251200.6</v>
      </c>
    </row>
    <row r="9" spans="2:6" s="59" customFormat="1" ht="31.2" x14ac:dyDescent="0.3">
      <c r="B9" s="12" t="s">
        <v>176</v>
      </c>
      <c r="C9" s="407">
        <f>'2) Tableau budgétaire 2'!D190</f>
        <v>42000</v>
      </c>
      <c r="D9" s="408">
        <f>'2) Tableau budgétaire 2'!E190</f>
        <v>16710</v>
      </c>
      <c r="E9" s="409">
        <f>'2) Tableau budgétaire 2'!F190</f>
        <v>0</v>
      </c>
      <c r="F9" s="411">
        <f t="shared" si="0"/>
        <v>58710</v>
      </c>
    </row>
    <row r="10" spans="2:6" s="59" customFormat="1" ht="46.8" x14ac:dyDescent="0.3">
      <c r="B10" s="12" t="s">
        <v>177</v>
      </c>
      <c r="C10" s="407">
        <f>'2) Tableau budgétaire 2'!D191</f>
        <v>0</v>
      </c>
      <c r="D10" s="408">
        <f>'2) Tableau budgétaire 2'!E191</f>
        <v>0</v>
      </c>
      <c r="E10" s="409">
        <f>'2) Tableau budgétaire 2'!F191</f>
        <v>0</v>
      </c>
      <c r="F10" s="411">
        <f t="shared" si="0"/>
        <v>0</v>
      </c>
    </row>
    <row r="11" spans="2:6" s="59" customFormat="1" ht="34.950000000000003" customHeight="1" x14ac:dyDescent="0.3">
      <c r="B11" s="24" t="s">
        <v>178</v>
      </c>
      <c r="C11" s="407">
        <f>'2) Tableau budgétaire 2'!D192</f>
        <v>1229178</v>
      </c>
      <c r="D11" s="408">
        <f>'2) Tableau budgétaire 2'!E192</f>
        <v>501910</v>
      </c>
      <c r="E11" s="409">
        <f>'2) Tableau budgétaire 2'!F192</f>
        <v>0</v>
      </c>
      <c r="F11" s="411">
        <f t="shared" si="0"/>
        <v>1731088</v>
      </c>
    </row>
    <row r="12" spans="2:6" s="59" customFormat="1" ht="34.950000000000003" customHeight="1" x14ac:dyDescent="0.3">
      <c r="B12" s="12" t="s">
        <v>179</v>
      </c>
      <c r="C12" s="407">
        <f>'2) Tableau budgétaire 2'!D193</f>
        <v>83700</v>
      </c>
      <c r="D12" s="408">
        <f>'2) Tableau budgétaire 2'!E193</f>
        <v>59150</v>
      </c>
      <c r="E12" s="409">
        <f>'2) Tableau budgétaire 2'!F193</f>
        <v>0</v>
      </c>
      <c r="F12" s="411">
        <f t="shared" si="0"/>
        <v>142850</v>
      </c>
    </row>
    <row r="13" spans="2:6" s="59" customFormat="1" ht="34.950000000000003" customHeight="1" x14ac:dyDescent="0.3">
      <c r="B13" s="12" t="s">
        <v>180</v>
      </c>
      <c r="C13" s="407">
        <f>'2) Tableau budgétaire 2'!D194</f>
        <v>0</v>
      </c>
      <c r="D13" s="408">
        <f>'2) Tableau budgétaire 2'!E194</f>
        <v>0</v>
      </c>
      <c r="E13" s="409">
        <f>'2) Tableau budgétaire 2'!F194</f>
        <v>0</v>
      </c>
      <c r="F13" s="411">
        <f t="shared" si="0"/>
        <v>0</v>
      </c>
    </row>
    <row r="14" spans="2:6" s="59" customFormat="1" ht="34.950000000000003" customHeight="1" thickBot="1" x14ac:dyDescent="0.35">
      <c r="B14" s="23" t="s">
        <v>181</v>
      </c>
      <c r="C14" s="412">
        <f>'2) Tableau budgétaire 2'!D195</f>
        <v>107600</v>
      </c>
      <c r="D14" s="413">
        <f>'2) Tableau budgétaire 2'!E195</f>
        <v>45000</v>
      </c>
      <c r="E14" s="414">
        <f>'2) Tableau budgétaire 2'!F195</f>
        <v>0</v>
      </c>
      <c r="F14" s="415">
        <f t="shared" si="0"/>
        <v>152600</v>
      </c>
    </row>
    <row r="15" spans="2:6" s="59" customFormat="1" ht="34.950000000000003" customHeight="1" thickBot="1" x14ac:dyDescent="0.35">
      <c r="B15" s="388" t="s">
        <v>182</v>
      </c>
      <c r="C15" s="416">
        <f>SUM(C8:C14)</f>
        <v>1582478</v>
      </c>
      <c r="D15" s="417">
        <f>SUM(D8:D14)</f>
        <v>753970.6</v>
      </c>
      <c r="E15" s="418">
        <f t="shared" ref="E15" si="1">SUM(E8:E14)</f>
        <v>0</v>
      </c>
      <c r="F15" s="419">
        <f t="shared" si="0"/>
        <v>2336448.6</v>
      </c>
    </row>
    <row r="16" spans="2:6" s="59" customFormat="1" ht="34.950000000000003" customHeight="1" thickBot="1" x14ac:dyDescent="0.35">
      <c r="B16" s="389" t="s">
        <v>183</v>
      </c>
      <c r="C16" s="420">
        <f>C15*0.07</f>
        <v>110773.46</v>
      </c>
      <c r="D16" s="420">
        <f>D15*0.07</f>
        <v>52777.942000000003</v>
      </c>
      <c r="E16" s="420">
        <f>E15*0.07</f>
        <v>0</v>
      </c>
      <c r="F16" s="421">
        <f>F15*0.07</f>
        <v>163551.40200000003</v>
      </c>
    </row>
    <row r="17" spans="2:6" s="59" customFormat="1" ht="34.950000000000003" customHeight="1" thickBot="1" x14ac:dyDescent="0.35">
      <c r="B17" s="390" t="s">
        <v>53</v>
      </c>
      <c r="C17" s="422">
        <f>SUM(C15:C16)</f>
        <v>1693251.46</v>
      </c>
      <c r="D17" s="422">
        <f>SUM(D15:D16)</f>
        <v>806748.54200000002</v>
      </c>
      <c r="E17" s="422">
        <f>SUM(E15:E16)</f>
        <v>0</v>
      </c>
      <c r="F17" s="423">
        <f t="shared" ref="F17" si="2">F15+F16</f>
        <v>2500000.0020000003</v>
      </c>
    </row>
    <row r="18" spans="2:6" s="59" customFormat="1" ht="16.2" thickBot="1" x14ac:dyDescent="0.35">
      <c r="B18" s="253"/>
      <c r="C18" s="253"/>
      <c r="D18" s="253"/>
      <c r="E18" s="253"/>
      <c r="F18" s="253"/>
    </row>
    <row r="19" spans="2:6" s="59" customFormat="1" ht="15.6" x14ac:dyDescent="0.3">
      <c r="B19" s="564" t="s">
        <v>184</v>
      </c>
      <c r="C19" s="565"/>
      <c r="D19" s="565"/>
      <c r="E19" s="565"/>
      <c r="F19" s="536"/>
    </row>
    <row r="20" spans="2:6" ht="15.6" x14ac:dyDescent="0.3">
      <c r="B20" s="18"/>
      <c r="C20" s="16" t="s">
        <v>172</v>
      </c>
      <c r="D20" s="16" t="s">
        <v>185</v>
      </c>
      <c r="E20" s="16" t="s">
        <v>186</v>
      </c>
      <c r="F20" s="19" t="s">
        <v>111</v>
      </c>
    </row>
    <row r="21" spans="2:6" ht="15.6" x14ac:dyDescent="0.3">
      <c r="B21" s="18"/>
      <c r="C21" s="16" t="str">
        <f>'1) Tableau budgétaire 1'!D13</f>
        <v>PNUD</v>
      </c>
      <c r="D21" s="16" t="str">
        <f>'1) Tableau budgétaire 1'!E13</f>
        <v>ONUDC</v>
      </c>
      <c r="E21" s="16">
        <f>'1) Tableau budgétaire 1'!F13</f>
        <v>0</v>
      </c>
      <c r="F21" s="19"/>
    </row>
    <row r="22" spans="2:6" ht="23.25" customHeight="1" x14ac:dyDescent="0.3">
      <c r="B22" s="17" t="s">
        <v>187</v>
      </c>
      <c r="C22" s="424">
        <f>'1) Tableau budgétaire 1'!D480</f>
        <v>1185276.0219999999</v>
      </c>
      <c r="D22" s="424">
        <f>'1) Tableau budgétaire 1'!E480</f>
        <v>564723.97939999995</v>
      </c>
      <c r="E22" s="15">
        <f>'1) Tableau budgétaire 1'!F480</f>
        <v>0</v>
      </c>
      <c r="F22" s="7">
        <f>'1) Tableau budgétaire 1'!H480</f>
        <v>0.7</v>
      </c>
    </row>
    <row r="23" spans="2:6" ht="24.75" customHeight="1" x14ac:dyDescent="0.3">
      <c r="B23" s="17" t="s">
        <v>188</v>
      </c>
      <c r="C23" s="424">
        <f>'1) Tableau budgétaire 1'!D481</f>
        <v>507975.43799999997</v>
      </c>
      <c r="D23" s="424">
        <f>'1) Tableau budgétaire 1'!E481</f>
        <v>242024.5626</v>
      </c>
      <c r="E23" s="15">
        <f>'1) Tableau budgétaire 1'!F481</f>
        <v>0</v>
      </c>
      <c r="F23" s="7">
        <f>'1) Tableau budgétaire 1'!H481</f>
        <v>0.3</v>
      </c>
    </row>
    <row r="24" spans="2:6" ht="24.75" customHeight="1" thickBot="1" x14ac:dyDescent="0.35">
      <c r="B24" s="8" t="s">
        <v>189</v>
      </c>
      <c r="C24" s="425">
        <f>'1) Tableau budgétaire 1'!D482</f>
        <v>0</v>
      </c>
      <c r="D24" s="425">
        <f>'1) Tableau budgétaire 1'!E482</f>
        <v>0</v>
      </c>
      <c r="E24" s="20">
        <f>'1) Tableau budgétaire 1'!F482</f>
        <v>0</v>
      </c>
      <c r="F24" s="9">
        <f>'1) Tableau budgétaire 1'!H482</f>
        <v>0</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1'!$D$474</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1'!$E$474</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1'!$F$474</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8671875" defaultRowHeight="14.4" x14ac:dyDescent="0.3"/>
  <cols>
    <col min="1" max="16384" width="8.88671875" style="132"/>
  </cols>
  <sheetData>
    <row r="1" spans="1:1" x14ac:dyDescent="0.3">
      <c r="A1" s="190">
        <v>0</v>
      </c>
    </row>
    <row r="2" spans="1:1" x14ac:dyDescent="0.3">
      <c r="A2" s="190">
        <v>0.2</v>
      </c>
    </row>
    <row r="3" spans="1:1" x14ac:dyDescent="0.3">
      <c r="A3" s="190">
        <v>0.4</v>
      </c>
    </row>
    <row r="4" spans="1:1" x14ac:dyDescent="0.3">
      <c r="A4" s="190">
        <v>0.6</v>
      </c>
    </row>
    <row r="5" spans="1:1" x14ac:dyDescent="0.3">
      <c r="A5" s="190">
        <v>0.8</v>
      </c>
    </row>
    <row r="6" spans="1:1" x14ac:dyDescent="0.3">
      <c r="A6" s="19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60" t="s">
        <v>190</v>
      </c>
      <c r="B1" s="61" t="s">
        <v>191</v>
      </c>
    </row>
    <row r="2" spans="1:2" x14ac:dyDescent="0.3">
      <c r="A2" s="62" t="s">
        <v>192</v>
      </c>
      <c r="B2" s="63" t="s">
        <v>193</v>
      </c>
    </row>
    <row r="3" spans="1:2" x14ac:dyDescent="0.3">
      <c r="A3" s="62" t="s">
        <v>194</v>
      </c>
      <c r="B3" s="63" t="s">
        <v>195</v>
      </c>
    </row>
    <row r="4" spans="1:2" x14ac:dyDescent="0.3">
      <c r="A4" s="62" t="s">
        <v>196</v>
      </c>
      <c r="B4" s="63" t="s">
        <v>197</v>
      </c>
    </row>
    <row r="5" spans="1:2" x14ac:dyDescent="0.3">
      <c r="A5" s="62" t="s">
        <v>198</v>
      </c>
      <c r="B5" s="63" t="s">
        <v>199</v>
      </c>
    </row>
    <row r="6" spans="1:2" x14ac:dyDescent="0.3">
      <c r="A6" s="62" t="s">
        <v>200</v>
      </c>
      <c r="B6" s="63" t="s">
        <v>201</v>
      </c>
    </row>
    <row r="7" spans="1:2" x14ac:dyDescent="0.3">
      <c r="A7" s="62" t="s">
        <v>202</v>
      </c>
      <c r="B7" s="63" t="s">
        <v>203</v>
      </c>
    </row>
    <row r="8" spans="1:2" x14ac:dyDescent="0.3">
      <c r="A8" s="62" t="s">
        <v>204</v>
      </c>
      <c r="B8" s="63" t="s">
        <v>205</v>
      </c>
    </row>
    <row r="9" spans="1:2" x14ac:dyDescent="0.3">
      <c r="A9" s="62" t="s">
        <v>206</v>
      </c>
      <c r="B9" s="63" t="s">
        <v>207</v>
      </c>
    </row>
    <row r="10" spans="1:2" x14ac:dyDescent="0.3">
      <c r="A10" s="62" t="s">
        <v>208</v>
      </c>
      <c r="B10" s="63" t="s">
        <v>209</v>
      </c>
    </row>
    <row r="11" spans="1:2" x14ac:dyDescent="0.3">
      <c r="A11" s="62" t="s">
        <v>210</v>
      </c>
      <c r="B11" s="63" t="s">
        <v>211</v>
      </c>
    </row>
    <row r="12" spans="1:2" x14ac:dyDescent="0.3">
      <c r="A12" s="62" t="s">
        <v>212</v>
      </c>
      <c r="B12" s="63" t="s">
        <v>213</v>
      </c>
    </row>
    <row r="13" spans="1:2" x14ac:dyDescent="0.3">
      <c r="A13" s="62" t="s">
        <v>214</v>
      </c>
      <c r="B13" s="63" t="s">
        <v>215</v>
      </c>
    </row>
    <row r="14" spans="1:2" x14ac:dyDescent="0.3">
      <c r="A14" s="62" t="s">
        <v>216</v>
      </c>
      <c r="B14" s="63" t="s">
        <v>217</v>
      </c>
    </row>
    <row r="15" spans="1:2" x14ac:dyDescent="0.3">
      <c r="A15" s="62" t="s">
        <v>218</v>
      </c>
      <c r="B15" s="63" t="s">
        <v>219</v>
      </c>
    </row>
    <row r="16" spans="1:2" x14ac:dyDescent="0.3">
      <c r="A16" s="62" t="s">
        <v>220</v>
      </c>
      <c r="B16" s="63" t="s">
        <v>221</v>
      </c>
    </row>
    <row r="17" spans="1:2" x14ac:dyDescent="0.3">
      <c r="A17" s="62" t="s">
        <v>222</v>
      </c>
      <c r="B17" s="63" t="s">
        <v>223</v>
      </c>
    </row>
    <row r="18" spans="1:2" x14ac:dyDescent="0.3">
      <c r="A18" s="62" t="s">
        <v>224</v>
      </c>
      <c r="B18" s="63" t="s">
        <v>225</v>
      </c>
    </row>
    <row r="19" spans="1:2" x14ac:dyDescent="0.3">
      <c r="A19" s="62" t="s">
        <v>226</v>
      </c>
      <c r="B19" s="63" t="s">
        <v>227</v>
      </c>
    </row>
    <row r="20" spans="1:2" x14ac:dyDescent="0.3">
      <c r="A20" s="62" t="s">
        <v>228</v>
      </c>
      <c r="B20" s="63" t="s">
        <v>229</v>
      </c>
    </row>
    <row r="21" spans="1:2" x14ac:dyDescent="0.3">
      <c r="A21" s="62" t="s">
        <v>230</v>
      </c>
      <c r="B21" s="63" t="s">
        <v>231</v>
      </c>
    </row>
    <row r="22" spans="1:2" x14ac:dyDescent="0.3">
      <c r="A22" s="62" t="s">
        <v>232</v>
      </c>
      <c r="B22" s="63" t="s">
        <v>233</v>
      </c>
    </row>
    <row r="23" spans="1:2" x14ac:dyDescent="0.3">
      <c r="A23" s="62" t="s">
        <v>234</v>
      </c>
      <c r="B23" s="63" t="s">
        <v>235</v>
      </c>
    </row>
    <row r="24" spans="1:2" x14ac:dyDescent="0.3">
      <c r="A24" s="62" t="s">
        <v>236</v>
      </c>
      <c r="B24" s="63" t="s">
        <v>237</v>
      </c>
    </row>
    <row r="25" spans="1:2" x14ac:dyDescent="0.3">
      <c r="A25" s="62" t="s">
        <v>238</v>
      </c>
      <c r="B25" s="63" t="s">
        <v>239</v>
      </c>
    </row>
    <row r="26" spans="1:2" x14ac:dyDescent="0.3">
      <c r="A26" s="62" t="s">
        <v>240</v>
      </c>
      <c r="B26" s="63" t="s">
        <v>241</v>
      </c>
    </row>
    <row r="27" spans="1:2" x14ac:dyDescent="0.3">
      <c r="A27" s="62" t="s">
        <v>242</v>
      </c>
      <c r="B27" s="63" t="s">
        <v>243</v>
      </c>
    </row>
    <row r="28" spans="1:2" x14ac:dyDescent="0.3">
      <c r="A28" s="62" t="s">
        <v>244</v>
      </c>
      <c r="B28" s="63" t="s">
        <v>245</v>
      </c>
    </row>
    <row r="29" spans="1:2" x14ac:dyDescent="0.3">
      <c r="A29" s="62" t="s">
        <v>246</v>
      </c>
      <c r="B29" s="63" t="s">
        <v>247</v>
      </c>
    </row>
    <row r="30" spans="1:2" x14ac:dyDescent="0.3">
      <c r="A30" s="62" t="s">
        <v>248</v>
      </c>
      <c r="B30" s="63" t="s">
        <v>249</v>
      </c>
    </row>
    <row r="31" spans="1:2" x14ac:dyDescent="0.3">
      <c r="A31" s="62" t="s">
        <v>250</v>
      </c>
      <c r="B31" s="63" t="s">
        <v>251</v>
      </c>
    </row>
    <row r="32" spans="1:2" x14ac:dyDescent="0.3">
      <c r="A32" s="62" t="s">
        <v>252</v>
      </c>
      <c r="B32" s="63" t="s">
        <v>253</v>
      </c>
    </row>
    <row r="33" spans="1:2" x14ac:dyDescent="0.3">
      <c r="A33" s="62" t="s">
        <v>254</v>
      </c>
      <c r="B33" s="63" t="s">
        <v>255</v>
      </c>
    </row>
    <row r="34" spans="1:2" x14ac:dyDescent="0.3">
      <c r="A34" s="62" t="s">
        <v>256</v>
      </c>
      <c r="B34" s="63" t="s">
        <v>257</v>
      </c>
    </row>
    <row r="35" spans="1:2" x14ac:dyDescent="0.3">
      <c r="A35" s="62" t="s">
        <v>258</v>
      </c>
      <c r="B35" s="63" t="s">
        <v>259</v>
      </c>
    </row>
    <row r="36" spans="1:2" x14ac:dyDescent="0.3">
      <c r="A36" s="62" t="s">
        <v>260</v>
      </c>
      <c r="B36" s="63" t="s">
        <v>261</v>
      </c>
    </row>
    <row r="37" spans="1:2" x14ac:dyDescent="0.3">
      <c r="A37" s="62" t="s">
        <v>262</v>
      </c>
      <c r="B37" s="63" t="s">
        <v>263</v>
      </c>
    </row>
    <row r="38" spans="1:2" x14ac:dyDescent="0.3">
      <c r="A38" s="62" t="s">
        <v>264</v>
      </c>
      <c r="B38" s="63" t="s">
        <v>265</v>
      </c>
    </row>
    <row r="39" spans="1:2" x14ac:dyDescent="0.3">
      <c r="A39" s="62" t="s">
        <v>266</v>
      </c>
      <c r="B39" s="63" t="s">
        <v>267</v>
      </c>
    </row>
    <row r="40" spans="1:2" x14ac:dyDescent="0.3">
      <c r="A40" s="62" t="s">
        <v>268</v>
      </c>
      <c r="B40" s="63" t="s">
        <v>269</v>
      </c>
    </row>
    <row r="41" spans="1:2" x14ac:dyDescent="0.3">
      <c r="A41" s="62" t="s">
        <v>270</v>
      </c>
      <c r="B41" s="63" t="s">
        <v>271</v>
      </c>
    </row>
    <row r="42" spans="1:2" x14ac:dyDescent="0.3">
      <c r="A42" s="62" t="s">
        <v>272</v>
      </c>
      <c r="B42" s="63" t="s">
        <v>273</v>
      </c>
    </row>
    <row r="43" spans="1:2" x14ac:dyDescent="0.3">
      <c r="A43" s="62" t="s">
        <v>274</v>
      </c>
      <c r="B43" s="63" t="s">
        <v>275</v>
      </c>
    </row>
    <row r="44" spans="1:2" x14ac:dyDescent="0.3">
      <c r="A44" s="62" t="s">
        <v>276</v>
      </c>
      <c r="B44" s="63" t="s">
        <v>277</v>
      </c>
    </row>
    <row r="45" spans="1:2" x14ac:dyDescent="0.3">
      <c r="A45" s="62" t="s">
        <v>278</v>
      </c>
      <c r="B45" s="63" t="s">
        <v>279</v>
      </c>
    </row>
    <row r="46" spans="1:2" x14ac:dyDescent="0.3">
      <c r="A46" s="62" t="s">
        <v>280</v>
      </c>
      <c r="B46" s="63" t="s">
        <v>281</v>
      </c>
    </row>
    <row r="47" spans="1:2" x14ac:dyDescent="0.3">
      <c r="A47" s="62" t="s">
        <v>282</v>
      </c>
      <c r="B47" s="63" t="s">
        <v>283</v>
      </c>
    </row>
    <row r="48" spans="1:2" x14ac:dyDescent="0.3">
      <c r="A48" s="62" t="s">
        <v>284</v>
      </c>
      <c r="B48" s="63" t="s">
        <v>285</v>
      </c>
    </row>
    <row r="49" spans="1:2" x14ac:dyDescent="0.3">
      <c r="A49" s="62" t="s">
        <v>286</v>
      </c>
      <c r="B49" s="63" t="s">
        <v>287</v>
      </c>
    </row>
    <row r="50" spans="1:2" x14ac:dyDescent="0.3">
      <c r="A50" s="62" t="s">
        <v>288</v>
      </c>
      <c r="B50" s="63" t="s">
        <v>289</v>
      </c>
    </row>
    <row r="51" spans="1:2" x14ac:dyDescent="0.3">
      <c r="A51" s="62" t="s">
        <v>290</v>
      </c>
      <c r="B51" s="63" t="s">
        <v>291</v>
      </c>
    </row>
    <row r="52" spans="1:2" x14ac:dyDescent="0.3">
      <c r="A52" s="62" t="s">
        <v>292</v>
      </c>
      <c r="B52" s="63" t="s">
        <v>293</v>
      </c>
    </row>
    <row r="53" spans="1:2" x14ac:dyDescent="0.3">
      <c r="A53" s="62" t="s">
        <v>294</v>
      </c>
      <c r="B53" s="63" t="s">
        <v>295</v>
      </c>
    </row>
    <row r="54" spans="1:2" x14ac:dyDescent="0.3">
      <c r="A54" s="62" t="s">
        <v>296</v>
      </c>
      <c r="B54" s="63" t="s">
        <v>297</v>
      </c>
    </row>
    <row r="55" spans="1:2" x14ac:dyDescent="0.3">
      <c r="A55" s="62" t="s">
        <v>298</v>
      </c>
      <c r="B55" s="63" t="s">
        <v>299</v>
      </c>
    </row>
    <row r="56" spans="1:2" x14ac:dyDescent="0.3">
      <c r="A56" s="62" t="s">
        <v>300</v>
      </c>
      <c r="B56" s="63" t="s">
        <v>301</v>
      </c>
    </row>
    <row r="57" spans="1:2" x14ac:dyDescent="0.3">
      <c r="A57" s="62" t="s">
        <v>302</v>
      </c>
      <c r="B57" s="63" t="s">
        <v>303</v>
      </c>
    </row>
    <row r="58" spans="1:2" x14ac:dyDescent="0.3">
      <c r="A58" s="62" t="s">
        <v>304</v>
      </c>
      <c r="B58" s="63" t="s">
        <v>305</v>
      </c>
    </row>
    <row r="59" spans="1:2" x14ac:dyDescent="0.3">
      <c r="A59" s="62" t="s">
        <v>306</v>
      </c>
      <c r="B59" s="63" t="s">
        <v>307</v>
      </c>
    </row>
    <row r="60" spans="1:2" x14ac:dyDescent="0.3">
      <c r="A60" s="62" t="s">
        <v>308</v>
      </c>
      <c r="B60" s="63" t="s">
        <v>309</v>
      </c>
    </row>
    <row r="61" spans="1:2" x14ac:dyDescent="0.3">
      <c r="A61" s="62" t="s">
        <v>310</v>
      </c>
      <c r="B61" s="63" t="s">
        <v>311</v>
      </c>
    </row>
    <row r="62" spans="1:2" x14ac:dyDescent="0.3">
      <c r="A62" s="62" t="s">
        <v>312</v>
      </c>
      <c r="B62" s="63" t="s">
        <v>313</v>
      </c>
    </row>
    <row r="63" spans="1:2" x14ac:dyDescent="0.3">
      <c r="A63" s="62" t="s">
        <v>314</v>
      </c>
      <c r="B63" s="63" t="s">
        <v>315</v>
      </c>
    </row>
    <row r="64" spans="1:2" x14ac:dyDescent="0.3">
      <c r="A64" s="62" t="s">
        <v>316</v>
      </c>
      <c r="B64" s="63" t="s">
        <v>317</v>
      </c>
    </row>
    <row r="65" spans="1:2" x14ac:dyDescent="0.3">
      <c r="A65" s="62" t="s">
        <v>318</v>
      </c>
      <c r="B65" s="63" t="s">
        <v>319</v>
      </c>
    </row>
    <row r="66" spans="1:2" x14ac:dyDescent="0.3">
      <c r="A66" s="62" t="s">
        <v>320</v>
      </c>
      <c r="B66" s="63" t="s">
        <v>321</v>
      </c>
    </row>
    <row r="67" spans="1:2" x14ac:dyDescent="0.3">
      <c r="A67" s="62" t="s">
        <v>322</v>
      </c>
      <c r="B67" s="63" t="s">
        <v>323</v>
      </c>
    </row>
    <row r="68" spans="1:2" x14ac:dyDescent="0.3">
      <c r="A68" s="62" t="s">
        <v>324</v>
      </c>
      <c r="B68" s="63" t="s">
        <v>325</v>
      </c>
    </row>
    <row r="69" spans="1:2" x14ac:dyDescent="0.3">
      <c r="A69" s="62" t="s">
        <v>326</v>
      </c>
      <c r="B69" s="63" t="s">
        <v>327</v>
      </c>
    </row>
    <row r="70" spans="1:2" x14ac:dyDescent="0.3">
      <c r="A70" s="62" t="s">
        <v>328</v>
      </c>
      <c r="B70" s="63" t="s">
        <v>329</v>
      </c>
    </row>
    <row r="71" spans="1:2" x14ac:dyDescent="0.3">
      <c r="A71" s="62" t="s">
        <v>330</v>
      </c>
      <c r="B71" s="63" t="s">
        <v>331</v>
      </c>
    </row>
    <row r="72" spans="1:2" x14ac:dyDescent="0.3">
      <c r="A72" s="62" t="s">
        <v>332</v>
      </c>
      <c r="B72" s="63" t="s">
        <v>333</v>
      </c>
    </row>
    <row r="73" spans="1:2" x14ac:dyDescent="0.3">
      <c r="A73" s="62" t="s">
        <v>334</v>
      </c>
      <c r="B73" s="63" t="s">
        <v>335</v>
      </c>
    </row>
    <row r="74" spans="1:2" x14ac:dyDescent="0.3">
      <c r="A74" s="62" t="s">
        <v>336</v>
      </c>
      <c r="B74" s="63" t="s">
        <v>337</v>
      </c>
    </row>
    <row r="75" spans="1:2" x14ac:dyDescent="0.3">
      <c r="A75" s="62" t="s">
        <v>338</v>
      </c>
      <c r="B75" s="64" t="s">
        <v>339</v>
      </c>
    </row>
    <row r="76" spans="1:2" x14ac:dyDescent="0.3">
      <c r="A76" s="62" t="s">
        <v>340</v>
      </c>
      <c r="B76" s="64" t="s">
        <v>341</v>
      </c>
    </row>
    <row r="77" spans="1:2" x14ac:dyDescent="0.3">
      <c r="A77" s="62" t="s">
        <v>342</v>
      </c>
      <c r="B77" s="64" t="s">
        <v>343</v>
      </c>
    </row>
    <row r="78" spans="1:2" x14ac:dyDescent="0.3">
      <c r="A78" s="62" t="s">
        <v>344</v>
      </c>
      <c r="B78" s="64" t="s">
        <v>345</v>
      </c>
    </row>
    <row r="79" spans="1:2" x14ac:dyDescent="0.3">
      <c r="A79" s="62" t="s">
        <v>346</v>
      </c>
      <c r="B79" s="64" t="s">
        <v>347</v>
      </c>
    </row>
    <row r="80" spans="1:2" x14ac:dyDescent="0.3">
      <c r="A80" s="62" t="s">
        <v>348</v>
      </c>
      <c r="B80" s="64" t="s">
        <v>349</v>
      </c>
    </row>
    <row r="81" spans="1:2" x14ac:dyDescent="0.3">
      <c r="A81" s="62" t="s">
        <v>350</v>
      </c>
      <c r="B81" s="64" t="s">
        <v>351</v>
      </c>
    </row>
    <row r="82" spans="1:2" x14ac:dyDescent="0.3">
      <c r="A82" s="62" t="s">
        <v>352</v>
      </c>
      <c r="B82" s="64" t="s">
        <v>353</v>
      </c>
    </row>
    <row r="83" spans="1:2" x14ac:dyDescent="0.3">
      <c r="A83" s="62" t="s">
        <v>354</v>
      </c>
      <c r="B83" s="64" t="s">
        <v>355</v>
      </c>
    </row>
    <row r="84" spans="1:2" x14ac:dyDescent="0.3">
      <c r="A84" s="62" t="s">
        <v>356</v>
      </c>
      <c r="B84" s="64" t="s">
        <v>357</v>
      </c>
    </row>
    <row r="85" spans="1:2" x14ac:dyDescent="0.3">
      <c r="A85" s="62" t="s">
        <v>358</v>
      </c>
      <c r="B85" s="64" t="s">
        <v>359</v>
      </c>
    </row>
    <row r="86" spans="1:2" x14ac:dyDescent="0.3">
      <c r="A86" s="62" t="s">
        <v>360</v>
      </c>
      <c r="B86" s="64" t="s">
        <v>361</v>
      </c>
    </row>
    <row r="87" spans="1:2" x14ac:dyDescent="0.3">
      <c r="A87" s="62" t="s">
        <v>362</v>
      </c>
      <c r="B87" s="64" t="s">
        <v>363</v>
      </c>
    </row>
    <row r="88" spans="1:2" x14ac:dyDescent="0.3">
      <c r="A88" s="62" t="s">
        <v>364</v>
      </c>
      <c r="B88" s="64" t="s">
        <v>365</v>
      </c>
    </row>
    <row r="89" spans="1:2" x14ac:dyDescent="0.3">
      <c r="A89" s="62" t="s">
        <v>366</v>
      </c>
      <c r="B89" s="64" t="s">
        <v>367</v>
      </c>
    </row>
    <row r="90" spans="1:2" x14ac:dyDescent="0.3">
      <c r="A90" s="62" t="s">
        <v>368</v>
      </c>
      <c r="B90" s="64" t="s">
        <v>369</v>
      </c>
    </row>
    <row r="91" spans="1:2" x14ac:dyDescent="0.3">
      <c r="A91" s="62" t="s">
        <v>370</v>
      </c>
      <c r="B91" s="64" t="s">
        <v>371</v>
      </c>
    </row>
    <row r="92" spans="1:2" x14ac:dyDescent="0.3">
      <c r="A92" s="62" t="s">
        <v>372</v>
      </c>
      <c r="B92" s="64" t="s">
        <v>373</v>
      </c>
    </row>
    <row r="93" spans="1:2" x14ac:dyDescent="0.3">
      <c r="A93" s="62" t="s">
        <v>374</v>
      </c>
      <c r="B93" s="64" t="s">
        <v>375</v>
      </c>
    </row>
    <row r="94" spans="1:2" x14ac:dyDescent="0.3">
      <c r="A94" s="62" t="s">
        <v>376</v>
      </c>
      <c r="B94" s="64" t="s">
        <v>377</v>
      </c>
    </row>
    <row r="95" spans="1:2" x14ac:dyDescent="0.3">
      <c r="A95" s="62" t="s">
        <v>378</v>
      </c>
      <c r="B95" s="64" t="s">
        <v>379</v>
      </c>
    </row>
    <row r="96" spans="1:2" x14ac:dyDescent="0.3">
      <c r="A96" s="62" t="s">
        <v>380</v>
      </c>
      <c r="B96" s="64" t="s">
        <v>381</v>
      </c>
    </row>
    <row r="97" spans="1:2" x14ac:dyDescent="0.3">
      <c r="A97" s="62" t="s">
        <v>382</v>
      </c>
      <c r="B97" s="64" t="s">
        <v>383</v>
      </c>
    </row>
    <row r="98" spans="1:2" x14ac:dyDescent="0.3">
      <c r="A98" s="62" t="s">
        <v>384</v>
      </c>
      <c r="B98" s="64" t="s">
        <v>385</v>
      </c>
    </row>
    <row r="99" spans="1:2" x14ac:dyDescent="0.3">
      <c r="A99" s="62" t="s">
        <v>386</v>
      </c>
      <c r="B99" s="64" t="s">
        <v>387</v>
      </c>
    </row>
    <row r="100" spans="1:2" x14ac:dyDescent="0.3">
      <c r="A100" s="62" t="s">
        <v>388</v>
      </c>
      <c r="B100" s="64" t="s">
        <v>389</v>
      </c>
    </row>
    <row r="101" spans="1:2" x14ac:dyDescent="0.3">
      <c r="A101" s="62" t="s">
        <v>390</v>
      </c>
      <c r="B101" s="64" t="s">
        <v>391</v>
      </c>
    </row>
    <row r="102" spans="1:2" x14ac:dyDescent="0.3">
      <c r="A102" s="62" t="s">
        <v>392</v>
      </c>
      <c r="B102" s="64" t="s">
        <v>393</v>
      </c>
    </row>
    <row r="103" spans="1:2" x14ac:dyDescent="0.3">
      <c r="A103" s="62" t="s">
        <v>394</v>
      </c>
      <c r="B103" s="64" t="s">
        <v>395</v>
      </c>
    </row>
    <row r="104" spans="1:2" x14ac:dyDescent="0.3">
      <c r="A104" s="62" t="s">
        <v>396</v>
      </c>
      <c r="B104" s="64" t="s">
        <v>397</v>
      </c>
    </row>
    <row r="105" spans="1:2" x14ac:dyDescent="0.3">
      <c r="A105" s="62" t="s">
        <v>398</v>
      </c>
      <c r="B105" s="64" t="s">
        <v>399</v>
      </c>
    </row>
    <row r="106" spans="1:2" x14ac:dyDescent="0.3">
      <c r="A106" s="62" t="s">
        <v>400</v>
      </c>
      <c r="B106" s="64" t="s">
        <v>401</v>
      </c>
    </row>
    <row r="107" spans="1:2" x14ac:dyDescent="0.3">
      <c r="A107" s="62" t="s">
        <v>402</v>
      </c>
      <c r="B107" s="64" t="s">
        <v>403</v>
      </c>
    </row>
    <row r="108" spans="1:2" x14ac:dyDescent="0.3">
      <c r="A108" s="62" t="s">
        <v>404</v>
      </c>
      <c r="B108" s="64" t="s">
        <v>405</v>
      </c>
    </row>
    <row r="109" spans="1:2" x14ac:dyDescent="0.3">
      <c r="A109" s="62" t="s">
        <v>406</v>
      </c>
      <c r="B109" s="64" t="s">
        <v>407</v>
      </c>
    </row>
    <row r="110" spans="1:2" x14ac:dyDescent="0.3">
      <c r="A110" s="62" t="s">
        <v>408</v>
      </c>
      <c r="B110" s="64" t="s">
        <v>409</v>
      </c>
    </row>
    <row r="111" spans="1:2" x14ac:dyDescent="0.3">
      <c r="A111" s="62" t="s">
        <v>410</v>
      </c>
      <c r="B111" s="64" t="s">
        <v>411</v>
      </c>
    </row>
    <row r="112" spans="1:2" x14ac:dyDescent="0.3">
      <c r="A112" s="62" t="s">
        <v>412</v>
      </c>
      <c r="B112" s="64" t="s">
        <v>413</v>
      </c>
    </row>
    <row r="113" spans="1:2" x14ac:dyDescent="0.3">
      <c r="A113" s="62" t="s">
        <v>414</v>
      </c>
      <c r="B113" s="64" t="s">
        <v>415</v>
      </c>
    </row>
    <row r="114" spans="1:2" x14ac:dyDescent="0.3">
      <c r="A114" s="62" t="s">
        <v>416</v>
      </c>
      <c r="B114" s="64" t="s">
        <v>417</v>
      </c>
    </row>
    <row r="115" spans="1:2" x14ac:dyDescent="0.3">
      <c r="A115" s="62" t="s">
        <v>418</v>
      </c>
      <c r="B115" s="64" t="s">
        <v>419</v>
      </c>
    </row>
    <row r="116" spans="1:2" x14ac:dyDescent="0.3">
      <c r="A116" s="62" t="s">
        <v>420</v>
      </c>
      <c r="B116" s="64" t="s">
        <v>421</v>
      </c>
    </row>
    <row r="117" spans="1:2" x14ac:dyDescent="0.3">
      <c r="A117" s="62" t="s">
        <v>422</v>
      </c>
      <c r="B117" s="64" t="s">
        <v>423</v>
      </c>
    </row>
    <row r="118" spans="1:2" x14ac:dyDescent="0.3">
      <c r="A118" s="62" t="s">
        <v>424</v>
      </c>
      <c r="B118" s="64" t="s">
        <v>425</v>
      </c>
    </row>
    <row r="119" spans="1:2" x14ac:dyDescent="0.3">
      <c r="A119" s="62" t="s">
        <v>426</v>
      </c>
      <c r="B119" s="64" t="s">
        <v>427</v>
      </c>
    </row>
    <row r="120" spans="1:2" x14ac:dyDescent="0.3">
      <c r="A120" s="62" t="s">
        <v>428</v>
      </c>
      <c r="B120" s="64" t="s">
        <v>429</v>
      </c>
    </row>
    <row r="121" spans="1:2" x14ac:dyDescent="0.3">
      <c r="A121" s="62" t="s">
        <v>430</v>
      </c>
      <c r="B121" s="64" t="s">
        <v>431</v>
      </c>
    </row>
    <row r="122" spans="1:2" x14ac:dyDescent="0.3">
      <c r="A122" s="62" t="s">
        <v>432</v>
      </c>
      <c r="B122" s="64" t="s">
        <v>433</v>
      </c>
    </row>
    <row r="123" spans="1:2" x14ac:dyDescent="0.3">
      <c r="A123" s="62" t="s">
        <v>434</v>
      </c>
      <c r="B123" s="64" t="s">
        <v>435</v>
      </c>
    </row>
    <row r="124" spans="1:2" x14ac:dyDescent="0.3">
      <c r="A124" s="62" t="s">
        <v>436</v>
      </c>
      <c r="B124" s="64" t="s">
        <v>437</v>
      </c>
    </row>
    <row r="125" spans="1:2" x14ac:dyDescent="0.3">
      <c r="A125" s="62" t="s">
        <v>438</v>
      </c>
      <c r="B125" s="64" t="s">
        <v>439</v>
      </c>
    </row>
    <row r="126" spans="1:2" x14ac:dyDescent="0.3">
      <c r="A126" s="62" t="s">
        <v>440</v>
      </c>
      <c r="B126" s="64" t="s">
        <v>441</v>
      </c>
    </row>
    <row r="127" spans="1:2" x14ac:dyDescent="0.3">
      <c r="A127" s="62" t="s">
        <v>442</v>
      </c>
      <c r="B127" s="64" t="s">
        <v>443</v>
      </c>
    </row>
    <row r="128" spans="1:2" x14ac:dyDescent="0.3">
      <c r="A128" s="62" t="s">
        <v>444</v>
      </c>
      <c r="B128" s="64" t="s">
        <v>445</v>
      </c>
    </row>
    <row r="129" spans="1:2" x14ac:dyDescent="0.3">
      <c r="A129" s="62" t="s">
        <v>446</v>
      </c>
      <c r="B129" s="64" t="s">
        <v>447</v>
      </c>
    </row>
    <row r="130" spans="1:2" x14ac:dyDescent="0.3">
      <c r="A130" s="62" t="s">
        <v>448</v>
      </c>
      <c r="B130" s="64" t="s">
        <v>449</v>
      </c>
    </row>
    <row r="131" spans="1:2" x14ac:dyDescent="0.3">
      <c r="A131" s="62" t="s">
        <v>450</v>
      </c>
      <c r="B131" s="64" t="s">
        <v>451</v>
      </c>
    </row>
    <row r="132" spans="1:2" x14ac:dyDescent="0.3">
      <c r="A132" s="62" t="s">
        <v>452</v>
      </c>
      <c r="B132" s="64" t="s">
        <v>453</v>
      </c>
    </row>
    <row r="133" spans="1:2" x14ac:dyDescent="0.3">
      <c r="A133" s="62" t="s">
        <v>454</v>
      </c>
      <c r="B133" s="64" t="s">
        <v>455</v>
      </c>
    </row>
    <row r="134" spans="1:2" x14ac:dyDescent="0.3">
      <c r="A134" s="62" t="s">
        <v>456</v>
      </c>
      <c r="B134" s="64" t="s">
        <v>457</v>
      </c>
    </row>
    <row r="135" spans="1:2" x14ac:dyDescent="0.3">
      <c r="A135" s="62" t="s">
        <v>458</v>
      </c>
      <c r="B135" s="64" t="s">
        <v>459</v>
      </c>
    </row>
    <row r="136" spans="1:2" x14ac:dyDescent="0.3">
      <c r="A136" s="62" t="s">
        <v>460</v>
      </c>
      <c r="B136" s="64" t="s">
        <v>461</v>
      </c>
    </row>
    <row r="137" spans="1:2" x14ac:dyDescent="0.3">
      <c r="A137" s="62" t="s">
        <v>462</v>
      </c>
      <c r="B137" s="64" t="s">
        <v>463</v>
      </c>
    </row>
    <row r="138" spans="1:2" x14ac:dyDescent="0.3">
      <c r="A138" s="62" t="s">
        <v>464</v>
      </c>
      <c r="B138" s="64" t="s">
        <v>465</v>
      </c>
    </row>
    <row r="139" spans="1:2" x14ac:dyDescent="0.3">
      <c r="A139" s="62" t="s">
        <v>466</v>
      </c>
      <c r="B139" s="64" t="s">
        <v>467</v>
      </c>
    </row>
    <row r="140" spans="1:2" x14ac:dyDescent="0.3">
      <c r="A140" s="62" t="s">
        <v>468</v>
      </c>
      <c r="B140" s="64" t="s">
        <v>469</v>
      </c>
    </row>
    <row r="141" spans="1:2" x14ac:dyDescent="0.3">
      <c r="A141" s="62" t="s">
        <v>470</v>
      </c>
      <c r="B141" s="64" t="s">
        <v>471</v>
      </c>
    </row>
    <row r="142" spans="1:2" x14ac:dyDescent="0.3">
      <c r="A142" s="62" t="s">
        <v>472</v>
      </c>
      <c r="B142" s="64" t="s">
        <v>473</v>
      </c>
    </row>
    <row r="143" spans="1:2" x14ac:dyDescent="0.3">
      <c r="A143" s="62" t="s">
        <v>474</v>
      </c>
      <c r="B143" s="64" t="s">
        <v>475</v>
      </c>
    </row>
    <row r="144" spans="1:2" x14ac:dyDescent="0.3">
      <c r="A144" s="62" t="s">
        <v>476</v>
      </c>
      <c r="B144" s="65" t="s">
        <v>477</v>
      </c>
    </row>
    <row r="145" spans="1:2" x14ac:dyDescent="0.3">
      <c r="A145" s="62" t="s">
        <v>478</v>
      </c>
      <c r="B145" s="64" t="s">
        <v>479</v>
      </c>
    </row>
    <row r="146" spans="1:2" x14ac:dyDescent="0.3">
      <c r="A146" s="62" t="s">
        <v>480</v>
      </c>
      <c r="B146" s="64" t="s">
        <v>481</v>
      </c>
    </row>
    <row r="147" spans="1:2" x14ac:dyDescent="0.3">
      <c r="A147" s="62" t="s">
        <v>482</v>
      </c>
      <c r="B147" s="64" t="s">
        <v>483</v>
      </c>
    </row>
    <row r="148" spans="1:2" x14ac:dyDescent="0.3">
      <c r="A148" s="62" t="s">
        <v>484</v>
      </c>
      <c r="B148" s="64" t="s">
        <v>485</v>
      </c>
    </row>
    <row r="149" spans="1:2" x14ac:dyDescent="0.3">
      <c r="A149" s="62" t="s">
        <v>486</v>
      </c>
      <c r="B149" s="64" t="s">
        <v>487</v>
      </c>
    </row>
    <row r="150" spans="1:2" x14ac:dyDescent="0.3">
      <c r="A150" s="62" t="s">
        <v>488</v>
      </c>
      <c r="B150" s="64" t="s">
        <v>489</v>
      </c>
    </row>
    <row r="151" spans="1:2" x14ac:dyDescent="0.3">
      <c r="A151" s="62" t="s">
        <v>490</v>
      </c>
      <c r="B151" s="64" t="s">
        <v>491</v>
      </c>
    </row>
    <row r="152" spans="1:2" x14ac:dyDescent="0.3">
      <c r="A152" s="62" t="s">
        <v>492</v>
      </c>
      <c r="B152" s="64" t="s">
        <v>493</v>
      </c>
    </row>
    <row r="153" spans="1:2" x14ac:dyDescent="0.3">
      <c r="A153" s="62" t="s">
        <v>494</v>
      </c>
      <c r="B153" s="64" t="s">
        <v>495</v>
      </c>
    </row>
    <row r="154" spans="1:2" x14ac:dyDescent="0.3">
      <c r="A154" s="62" t="s">
        <v>496</v>
      </c>
      <c r="B154" s="64" t="s">
        <v>497</v>
      </c>
    </row>
    <row r="155" spans="1:2" x14ac:dyDescent="0.3">
      <c r="A155" s="62" t="s">
        <v>498</v>
      </c>
      <c r="B155" s="64" t="s">
        <v>499</v>
      </c>
    </row>
    <row r="156" spans="1:2" x14ac:dyDescent="0.3">
      <c r="A156" s="62" t="s">
        <v>500</v>
      </c>
      <c r="B156" s="64" t="s">
        <v>501</v>
      </c>
    </row>
    <row r="157" spans="1:2" x14ac:dyDescent="0.3">
      <c r="A157" s="62" t="s">
        <v>502</v>
      </c>
      <c r="B157" s="64" t="s">
        <v>503</v>
      </c>
    </row>
    <row r="158" spans="1:2" x14ac:dyDescent="0.3">
      <c r="A158" s="62" t="s">
        <v>504</v>
      </c>
      <c r="B158" s="64" t="s">
        <v>505</v>
      </c>
    </row>
    <row r="159" spans="1:2" x14ac:dyDescent="0.3">
      <c r="A159" s="62" t="s">
        <v>506</v>
      </c>
      <c r="B159" s="64" t="s">
        <v>507</v>
      </c>
    </row>
    <row r="160" spans="1:2" x14ac:dyDescent="0.3">
      <c r="A160" s="62" t="s">
        <v>508</v>
      </c>
      <c r="B160" s="64" t="s">
        <v>509</v>
      </c>
    </row>
    <row r="161" spans="1:2" x14ac:dyDescent="0.3">
      <c r="A161" s="62" t="s">
        <v>510</v>
      </c>
      <c r="B161" s="64" t="s">
        <v>511</v>
      </c>
    </row>
    <row r="162" spans="1:2" x14ac:dyDescent="0.3">
      <c r="A162" s="62" t="s">
        <v>512</v>
      </c>
      <c r="B162" s="64" t="s">
        <v>513</v>
      </c>
    </row>
    <row r="163" spans="1:2" x14ac:dyDescent="0.3">
      <c r="A163" s="62" t="s">
        <v>514</v>
      </c>
      <c r="B163" s="64" t="s">
        <v>515</v>
      </c>
    </row>
    <row r="164" spans="1:2" x14ac:dyDescent="0.3">
      <c r="A164" s="62" t="s">
        <v>516</v>
      </c>
      <c r="B164" s="64" t="s">
        <v>517</v>
      </c>
    </row>
    <row r="165" spans="1:2" x14ac:dyDescent="0.3">
      <c r="A165" s="62" t="s">
        <v>518</v>
      </c>
      <c r="B165" s="64" t="s">
        <v>519</v>
      </c>
    </row>
    <row r="166" spans="1:2" x14ac:dyDescent="0.3">
      <c r="A166" s="62" t="s">
        <v>520</v>
      </c>
      <c r="B166" s="64" t="s">
        <v>521</v>
      </c>
    </row>
    <row r="167" spans="1:2" x14ac:dyDescent="0.3">
      <c r="A167" s="62" t="s">
        <v>522</v>
      </c>
      <c r="B167" s="64" t="s">
        <v>523</v>
      </c>
    </row>
    <row r="168" spans="1:2" x14ac:dyDescent="0.3">
      <c r="A168" s="62" t="s">
        <v>524</v>
      </c>
      <c r="B168" s="64" t="s">
        <v>525</v>
      </c>
    </row>
    <row r="169" spans="1:2" x14ac:dyDescent="0.3">
      <c r="A169" s="62" t="s">
        <v>526</v>
      </c>
      <c r="B169" s="64" t="s">
        <v>527</v>
      </c>
    </row>
    <row r="170" spans="1:2" x14ac:dyDescent="0.3">
      <c r="A170" s="62" t="s">
        <v>528</v>
      </c>
      <c r="B170" s="64" t="s">
        <v>529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400F175775242BB337C1F858C6A9C" ma:contentTypeVersion="4" ma:contentTypeDescription="Create a new document." ma:contentTypeScope="" ma:versionID="51fadd89cfa44737b1740af3af457e39">
  <xsd:schema xmlns:xsd="http://www.w3.org/2001/XMLSchema" xmlns:xs="http://www.w3.org/2001/XMLSchema" xmlns:p="http://schemas.microsoft.com/office/2006/metadata/properties" xmlns:ns2="df696e27-f6c1-4ca7-8ae7-24a038902300" xmlns:ns3="15c4a104-71d0-4aef-8f21-e7fb1f4685b4" targetNamespace="http://schemas.microsoft.com/office/2006/metadata/properties" ma:root="true" ma:fieldsID="8cb58b0f01ab032143210b4888863e23" ns2:_="" ns3:_="">
    <xsd:import namespace="df696e27-f6c1-4ca7-8ae7-24a038902300"/>
    <xsd:import namespace="15c4a104-71d0-4aef-8f21-e7fb1f4685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96e27-f6c1-4ca7-8ae7-24a038902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c4a104-71d0-4aef-8f21-e7fb1f4685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1EBD5B-C491-4A54-AEBC-A10DD7C217D7}">
  <ds:schemaRefs>
    <ds:schemaRef ds:uri="http://schemas.microsoft.com/sharepoint/v3/contenttype/forms"/>
  </ds:schemaRefs>
</ds:datastoreItem>
</file>

<file path=customXml/itemProps2.xml><?xml version="1.0" encoding="utf-8"?>
<ds:datastoreItem xmlns:ds="http://schemas.openxmlformats.org/officeDocument/2006/customXml" ds:itemID="{F46E7868-902C-4D05-8C62-7211E7F1E5C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3CF98D8-D2C2-4D44-B8FF-EE0F01487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96e27-f6c1-4ca7-8ae7-24a038902300"/>
    <ds:schemaRef ds:uri="15c4a104-71d0-4aef-8f21-e7fb1f468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Recap!Zone_d_impression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Gedeon Behiguim</cp:lastModifiedBy>
  <cp:revision/>
  <cp:lastPrinted>2021-07-10T10:54:21Z</cp:lastPrinted>
  <dcterms:created xsi:type="dcterms:W3CDTF">2017-11-15T21:17:43Z</dcterms:created>
  <dcterms:modified xsi:type="dcterms:W3CDTF">2021-12-28T17:26:22Z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0x0101006DC400F175775242BB337C1F858C6A9C</vt:lpwstr>
  </property>
</Properties>
</file>