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oumar.diallo\Documents\PBF CDTOC\"/>
    </mc:Choice>
  </mc:AlternateContent>
  <xr:revisionPtr revIDLastSave="0" documentId="8_{6E19E7B4-93A1-4F0C-AB99-E9094277670C}" xr6:coauthVersionLast="46" xr6:coauthVersionMax="46" xr10:uidLastSave="{00000000-0000-0000-0000-000000000000}"/>
  <bookViews>
    <workbookView xWindow="-110" yWindow="-110" windowWidth="19420" windowHeight="10420" firstSheet="2"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5" l="1"/>
  <c r="H40" i="1"/>
  <c r="H39" i="1"/>
  <c r="H41" i="1" l="1"/>
  <c r="H26" i="1"/>
  <c r="H25" i="1"/>
  <c r="H21" i="1"/>
  <c r="H13" i="1"/>
  <c r="H11" i="1"/>
  <c r="J28" i="1"/>
  <c r="H7" i="1" l="1"/>
  <c r="H12" i="1"/>
  <c r="I34" i="1"/>
  <c r="I26" i="1"/>
  <c r="I25" i="1"/>
  <c r="I21" i="1"/>
  <c r="I11" i="1"/>
  <c r="I8" i="1"/>
  <c r="I48" i="5"/>
  <c r="I37" i="5"/>
  <c r="I15" i="5"/>
  <c r="F36" i="5"/>
  <c r="F31" i="5"/>
  <c r="F25" i="5"/>
  <c r="F9" i="5"/>
  <c r="F14" i="5"/>
  <c r="F15" i="5" l="1"/>
  <c r="E15" i="5"/>
  <c r="D15" i="5"/>
  <c r="F48" i="5"/>
  <c r="E48" i="5"/>
  <c r="D48" i="5"/>
  <c r="E25" i="1" l="1"/>
  <c r="D8" i="5"/>
  <c r="D25" i="5"/>
  <c r="D20" i="5"/>
  <c r="D47" i="5"/>
  <c r="F47" i="5"/>
  <c r="F41" i="5"/>
  <c r="E47" i="5"/>
  <c r="F20" i="5"/>
  <c r="E25" i="5"/>
  <c r="D41" i="5"/>
  <c r="D44" i="5"/>
  <c r="I39" i="1"/>
  <c r="I40" i="1"/>
  <c r="I22" i="1"/>
  <c r="I10" i="1"/>
  <c r="I31" i="1" l="1"/>
  <c r="I12" i="1"/>
  <c r="I36" i="1" l="1"/>
  <c r="H36" i="1"/>
  <c r="E36" i="1"/>
  <c r="F36" i="1"/>
  <c r="D36" i="1"/>
  <c r="F42" i="5" l="1"/>
  <c r="D14" i="5"/>
  <c r="D9" i="5"/>
  <c r="F59" i="5" l="1"/>
  <c r="F58" i="5"/>
  <c r="F57" i="5"/>
  <c r="F56" i="5"/>
  <c r="F55" i="5"/>
  <c r="F54" i="5"/>
  <c r="E59" i="5"/>
  <c r="E58" i="5"/>
  <c r="E57" i="5"/>
  <c r="E55" i="5"/>
  <c r="D58" i="5"/>
  <c r="D57" i="5"/>
  <c r="D56" i="5"/>
  <c r="D55" i="5"/>
  <c r="D54" i="5"/>
  <c r="F53" i="5"/>
  <c r="E54" i="5"/>
  <c r="E53" i="5"/>
  <c r="D53" i="5"/>
  <c r="G26" i="1"/>
  <c r="G10" i="1"/>
  <c r="H10" i="1" s="1"/>
  <c r="G17" i="1"/>
  <c r="G9" i="1"/>
  <c r="D20" i="4" l="1"/>
  <c r="E20" i="4"/>
  <c r="C20" i="4"/>
  <c r="D6" i="4"/>
  <c r="E6" i="4"/>
  <c r="C6" i="4"/>
  <c r="E51" i="5"/>
  <c r="F51" i="5"/>
  <c r="D51" i="5"/>
  <c r="E4" i="5"/>
  <c r="F4" i="5"/>
  <c r="D4" i="5"/>
  <c r="F60" i="1"/>
  <c r="E60" i="1"/>
  <c r="D60" i="1"/>
  <c r="D52" i="1"/>
  <c r="F52" i="1"/>
  <c r="E52" i="1"/>
  <c r="G24" i="4"/>
  <c r="G23" i="4"/>
  <c r="G22" i="4"/>
  <c r="I18" i="1"/>
  <c r="I28" i="1"/>
  <c r="I43" i="1"/>
  <c r="D70" i="1"/>
  <c r="G39" i="1"/>
  <c r="H65" i="1"/>
  <c r="D14" i="4"/>
  <c r="E14" i="4"/>
  <c r="D12" i="4"/>
  <c r="E12" i="4"/>
  <c r="D10" i="4"/>
  <c r="E10" i="4"/>
  <c r="D9" i="4"/>
  <c r="E9" i="4"/>
  <c r="C10" i="4"/>
  <c r="C11" i="4"/>
  <c r="G58" i="5"/>
  <c r="G54" i="5"/>
  <c r="D8" i="4"/>
  <c r="E8" i="4"/>
  <c r="G40" i="1"/>
  <c r="G41" i="1"/>
  <c r="G42" i="1"/>
  <c r="G33" i="1"/>
  <c r="G34" i="1"/>
  <c r="G32" i="1"/>
  <c r="G31" i="1"/>
  <c r="G30" i="1"/>
  <c r="G36" i="1" s="1"/>
  <c r="G35" i="1"/>
  <c r="G21" i="1"/>
  <c r="G22" i="1"/>
  <c r="H22" i="1" s="1"/>
  <c r="H28" i="1" s="1"/>
  <c r="G23" i="1"/>
  <c r="G24" i="1"/>
  <c r="G25" i="1"/>
  <c r="G27" i="1"/>
  <c r="G20" i="1"/>
  <c r="G12" i="1"/>
  <c r="G8" i="1"/>
  <c r="H8" i="1" s="1"/>
  <c r="H18" i="1" s="1"/>
  <c r="G11" i="1"/>
  <c r="G14" i="1"/>
  <c r="G15" i="1"/>
  <c r="G16" i="1"/>
  <c r="G13" i="1"/>
  <c r="G7" i="1"/>
  <c r="G46" i="5"/>
  <c r="G45" i="5"/>
  <c r="G44" i="5"/>
  <c r="G43" i="5"/>
  <c r="G42" i="5"/>
  <c r="G41" i="5"/>
  <c r="E43" i="1"/>
  <c r="E40" i="5" s="1"/>
  <c r="F43" i="1"/>
  <c r="F40" i="5" s="1"/>
  <c r="D43" i="1"/>
  <c r="D40" i="5" s="1"/>
  <c r="E13" i="4"/>
  <c r="E11" i="4"/>
  <c r="C12" i="4"/>
  <c r="C13" i="4"/>
  <c r="C8" i="4"/>
  <c r="G19" i="5"/>
  <c r="G20" i="5"/>
  <c r="G21" i="5"/>
  <c r="G22" i="5"/>
  <c r="G23" i="5"/>
  <c r="G24" i="5"/>
  <c r="G25" i="5"/>
  <c r="D26" i="5"/>
  <c r="E26" i="5"/>
  <c r="F26" i="5"/>
  <c r="G30" i="5"/>
  <c r="G31" i="5"/>
  <c r="G32" i="5"/>
  <c r="G33" i="5"/>
  <c r="G34" i="5"/>
  <c r="G35" i="5"/>
  <c r="G36" i="5"/>
  <c r="D37" i="5"/>
  <c r="E37" i="5"/>
  <c r="F37" i="5"/>
  <c r="G8" i="5"/>
  <c r="G9" i="5"/>
  <c r="G10" i="5"/>
  <c r="G12" i="5"/>
  <c r="G13" i="5"/>
  <c r="G53" i="5"/>
  <c r="D13" i="4"/>
  <c r="G57" i="5"/>
  <c r="F60" i="5"/>
  <c r="E29" i="5"/>
  <c r="F29" i="5"/>
  <c r="E28" i="1"/>
  <c r="E18" i="5" s="1"/>
  <c r="F28" i="1"/>
  <c r="F18" i="5" s="1"/>
  <c r="D28" i="1"/>
  <c r="D18" i="5" s="1"/>
  <c r="F18" i="1"/>
  <c r="E18" i="1"/>
  <c r="D29" i="5"/>
  <c r="D18" i="1"/>
  <c r="F13" i="4" l="1"/>
  <c r="I67" i="1"/>
  <c r="F61" i="5"/>
  <c r="F62" i="5" s="1"/>
  <c r="G37" i="5"/>
  <c r="F12" i="4"/>
  <c r="E7" i="5"/>
  <c r="E54" i="1"/>
  <c r="E55" i="1" s="1"/>
  <c r="E56" i="1" s="1"/>
  <c r="E64" i="1" s="1"/>
  <c r="D24" i="4" s="1"/>
  <c r="D7" i="5"/>
  <c r="D54" i="1"/>
  <c r="F7" i="5"/>
  <c r="F54" i="1"/>
  <c r="F55" i="1" s="1"/>
  <c r="F56" i="1" s="1"/>
  <c r="G26" i="5"/>
  <c r="I26" i="5" s="1"/>
  <c r="E15" i="4"/>
  <c r="E16" i="4" s="1"/>
  <c r="E17" i="4" s="1"/>
  <c r="F10" i="4"/>
  <c r="F8" i="4"/>
  <c r="G55" i="5"/>
  <c r="C9" i="4"/>
  <c r="F9" i="4" s="1"/>
  <c r="C29" i="6"/>
  <c r="D34" i="6" s="1"/>
  <c r="C18" i="6"/>
  <c r="D22" i="6" s="1"/>
  <c r="H43" i="1"/>
  <c r="D67" i="1" s="1"/>
  <c r="C40" i="6"/>
  <c r="D47" i="6" s="1"/>
  <c r="G28" i="1"/>
  <c r="G40" i="5"/>
  <c r="G29" i="5"/>
  <c r="C7" i="6"/>
  <c r="D12" i="6" s="1"/>
  <c r="G18" i="5"/>
  <c r="G18" i="1"/>
  <c r="G43" i="1"/>
  <c r="D44" i="6" l="1"/>
  <c r="D25" i="6"/>
  <c r="G7" i="5"/>
  <c r="D36" i="6"/>
  <c r="D23" i="6"/>
  <c r="D32" i="6"/>
  <c r="C30" i="6" s="1"/>
  <c r="D43" i="6"/>
  <c r="C41" i="6" s="1"/>
  <c r="D33" i="6"/>
  <c r="D24" i="6"/>
  <c r="D21" i="6"/>
  <c r="C19" i="6" s="1"/>
  <c r="D35" i="6"/>
  <c r="D45" i="6"/>
  <c r="D46" i="6"/>
  <c r="D11" i="6"/>
  <c r="D13" i="6"/>
  <c r="D14" i="6"/>
  <c r="D10" i="6"/>
  <c r="E63" i="1"/>
  <c r="D23" i="4" s="1"/>
  <c r="E62" i="1"/>
  <c r="D22" i="4" s="1"/>
  <c r="D55" i="1"/>
  <c r="D56" i="1" s="1"/>
  <c r="G54" i="1"/>
  <c r="I68" i="1" s="1"/>
  <c r="F64" i="1"/>
  <c r="E24" i="4" s="1"/>
  <c r="F63" i="1"/>
  <c r="E23" i="4" s="1"/>
  <c r="F62" i="1"/>
  <c r="C8" i="6" l="1"/>
  <c r="E65" i="1"/>
  <c r="D25" i="4" s="1"/>
  <c r="D63" i="1"/>
  <c r="C23" i="4" s="1"/>
  <c r="D62" i="1"/>
  <c r="G62" i="1" s="1"/>
  <c r="D64" i="1"/>
  <c r="C24" i="4" s="1"/>
  <c r="G55" i="1"/>
  <c r="G56" i="1" s="1"/>
  <c r="F65" i="1"/>
  <c r="E25" i="4" s="1"/>
  <c r="E22" i="4"/>
  <c r="D71" i="1" l="1"/>
  <c r="G64" i="1"/>
  <c r="F24" i="4" s="1"/>
  <c r="G63" i="1"/>
  <c r="F23" i="4" s="1"/>
  <c r="C22" i="4"/>
  <c r="D65" i="1"/>
  <c r="C25" i="4" s="1"/>
  <c r="F22" i="4"/>
  <c r="G65" i="1" l="1"/>
  <c r="F25" i="4" s="1"/>
  <c r="G14" i="5"/>
  <c r="G47" i="5" l="1"/>
  <c r="D59" i="5"/>
  <c r="G48" i="5"/>
  <c r="C14" i="4" l="1"/>
  <c r="C15" i="4" s="1"/>
  <c r="D60" i="5"/>
  <c r="G59" i="5"/>
  <c r="F14" i="4" l="1"/>
  <c r="D61" i="5"/>
  <c r="D62" i="5" s="1"/>
  <c r="C16" i="4"/>
  <c r="C17" i="4" s="1"/>
  <c r="E56" i="5"/>
  <c r="E60" i="5" s="1"/>
  <c r="G11" i="5"/>
  <c r="G15" i="5"/>
  <c r="D11" i="4" l="1"/>
  <c r="F11" i="4" s="1"/>
  <c r="G60" i="5"/>
  <c r="E61" i="5"/>
  <c r="E62" i="5" s="1"/>
  <c r="G56" i="5"/>
  <c r="D15" i="4" l="1"/>
  <c r="D16" i="4" s="1"/>
  <c r="D17" i="4" s="1"/>
  <c r="G61" i="5"/>
  <c r="G62" i="5" s="1"/>
  <c r="F15" i="4"/>
  <c r="F16" i="4" l="1"/>
  <c r="F17" i="4" s="1"/>
  <c r="D68" i="1" l="1"/>
</calcChain>
</file>

<file path=xl/sharedStrings.xml><?xml version="1.0" encoding="utf-8"?>
<sst xmlns="http://schemas.openxmlformats.org/spreadsheetml/2006/main" count="551" uniqueCount="476">
  <si>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</si>
  <si>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</si>
  <si>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</si>
  <si>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</si>
  <si>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</si>
  <si>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</si>
  <si>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</si>
  <si>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</si>
  <si>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</si>
  <si>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</si>
  <si>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</si>
  <si>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</si>
  <si>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</si>
  <si>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</si>
  <si>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</si>
  <si>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</si>
  <si>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</si>
  <si>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</si>
  <si>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</si>
  <si>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</si>
  <si>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</si>
  <si>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</si>
  <si>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</si>
  <si>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</si>
  <si>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</si>
  <si>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</si>
  <si>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</si>
  <si>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</si>
  <si>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</si>
  <si>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</si>
  <si>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</si>
  <si>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</si>
  <si>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</si>
  <si>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</si>
  <si>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</si>
  <si>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</si>
  <si>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</si>
  <si>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</si>
  <si>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</si>
  <si>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</si>
  <si>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</si>
  <si>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</si>
  <si>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</si>
  <si>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</si>
  <si>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</si>
  <si>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</si>
  <si>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</si>
  <si>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Sub-Total Project Budget</t>
  </si>
  <si>
    <t>Total</t>
  </si>
  <si>
    <t>For MPTFO Use</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</si>
  <si>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</si>
  <si>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</si>
  <si>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</si>
  <si>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</si>
  <si>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</si>
  <si>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</si>
  <si>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</si>
  <si>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</si>
  <si>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</si>
  <si>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</si>
  <si>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</si>
  <si>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</si>
  <si>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</si>
  <si>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</si>
  <si>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</si>
  <si>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</si>
  <si>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</si>
  <si>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</si>
  <si>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</si>
  <si>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</si>
  <si>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</si>
  <si>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</si>
  <si>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</si>
  <si>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</si>
  <si>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</si>
  <si>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</si>
  <si>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</si>
  <si>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</si>
  <si>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</si>
  <si>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</si>
  <si>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</si>
  <si>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</si>
  <si>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</si>
  <si>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</si>
  <si>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</si>
  <si>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</si>
  <si>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</si>
  <si>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</si>
  <si>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</si>
  <si>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</si>
  <si>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</si>
  <si>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</si>
  <si>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</si>
  <si>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</si>
  <si>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</si>
  <si>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</si>
  <si>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</si>
  <si>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</si>
  <si>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</si>
  <si>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</si>
  <si>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</si>
  <si>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</si>
  <si>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</si>
  <si>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</si>
  <si>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</si>
  <si>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</si>
  <si>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</si>
  <si>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</si>
  <si>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</si>
  <si>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</si>
  <si>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</si>
  <si>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</si>
  <si>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</si>
  <si>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</si>
  <si>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</si>
  <si>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</si>
  <si>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</si>
  <si>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</si>
  <si>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</si>
  <si>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</si>
  <si>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</si>
  <si>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</si>
  <si>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</si>
  <si>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</si>
  <si>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</si>
  <si>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</si>
  <si>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</si>
  <si>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</si>
  <si>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</si>
  <si>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</si>
  <si>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</si>
  <si>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</si>
  <si>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</si>
  <si>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</si>
  <si>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</si>
  <si>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</si>
  <si>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</si>
  <si>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</si>
  <si>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</si>
  <si>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</si>
  <si>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</si>
  <si>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</si>
  <si>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</si>
  <si>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</si>
  <si>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</si>
  <si>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</si>
  <si>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</si>
  <si>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</si>
  <si>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</si>
  <si>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</si>
  <si>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</si>
  <si>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</si>
  <si>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</si>
  <si>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</si>
  <si>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</si>
  <si>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</si>
  <si>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</si>
  <si>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</si>
  <si>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</si>
  <si>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</si>
  <si>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</si>
  <si>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</si>
  <si>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</si>
  <si>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</si>
  <si>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</si>
  <si>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</si>
  <si>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</si>
  <si>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</si>
  <si>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</si>
  <si>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</si>
  <si>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</si>
  <si>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</si>
  <si>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</si>
  <si>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</si>
  <si>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</si>
  <si>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</si>
  <si>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</si>
  <si>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</si>
  <si>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</si>
  <si>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</si>
  <si>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</si>
  <si>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</si>
  <si>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</si>
  <si>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</si>
  <si>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</si>
  <si>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</si>
  <si>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</si>
  <si>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</si>
  <si>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</si>
  <si>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</si>
  <si>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</si>
  <si>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</si>
  <si>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</si>
  <si>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</si>
  <si>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</si>
  <si>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</si>
  <si>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</si>
  <si>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</si>
  <si>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</si>
  <si>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</si>
  <si>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</si>
  <si>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</si>
  <si>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</si>
  <si>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</si>
  <si>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</si>
  <si>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</si>
  <si>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</si>
  <si>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</si>
  <si>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</si>
  <si>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</si>
  <si>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</si>
  <si>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</si>
  <si>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</si>
  <si>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</si>
  <si>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</si>
  <si>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</si>
  <si>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</si>
  <si>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</si>
  <si>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</si>
  <si>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</si>
  <si>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</si>
  <si>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</si>
  <si>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</si>
  <si>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</si>
  <si>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</si>
  <si>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</si>
  <si>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</si>
  <si>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</si>
  <si>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</si>
  <si>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</si>
  <si>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</si>
  <si>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</si>
  <si>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</si>
  <si>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</si>
  <si>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</si>
  <si>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</si>
  <si>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</si>
  <si>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</si>
  <si>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</si>
  <si>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</si>
  <si>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</si>
  <si>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</si>
  <si>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</si>
  <si>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</si>
  <si>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</si>
  <si>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</si>
  <si>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</si>
  <si>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</si>
  <si>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</si>
  <si>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</si>
  <si>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</si>
  <si>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</si>
  <si>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</si>
  <si>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</si>
  <si>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</si>
  <si>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</si>
  <si>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</si>
  <si>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</si>
  <si>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</si>
  <si>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</si>
  <si>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</si>
  <si>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</si>
  <si>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</si>
  <si>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</si>
  <si>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</si>
  <si>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</si>
  <si>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</si>
  <si>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</si>
  <si>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</si>
  <si>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</si>
  <si>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</si>
  <si>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</si>
  <si>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</si>
  <si>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</si>
  <si>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</si>
  <si>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</si>
  <si>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</si>
  <si>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</si>
  <si>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</si>
  <si>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</si>
  <si>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</si>
  <si>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</si>
  <si>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</si>
  <si>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</si>
  <si>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</si>
  <si>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</si>
  <si>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</si>
  <si>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</si>
  <si>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</si>
  <si>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</si>
  <si>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</si>
  <si>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</si>
  <si>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</si>
  <si>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</si>
  <si>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</si>
  <si>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</si>
  <si>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</si>
  <si>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</si>
  <si>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</si>
  <si>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</si>
  <si>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</si>
  <si>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</si>
  <si>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</si>
  <si>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</si>
  <si>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</si>
  <si>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</si>
  <si>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</si>
  <si>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</si>
  <si>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</si>
  <si>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</si>
  <si>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</si>
  <si>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</si>
  <si>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</si>
  <si>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</si>
  <si>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</si>
  <si>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</si>
  <si>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</si>
  <si>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</si>
  <si>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</si>
  <si>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</si>
  <si>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</si>
  <si>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</si>
  <si>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</si>
  <si>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</si>
  <si>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</si>
  <si>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</si>
  <si>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</si>
  <si>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</si>
  <si>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</si>
  <si>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</si>
  <si>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</si>
  <si>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</si>
  <si>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</si>
  <si>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</si>
  <si>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</si>
  <si>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</si>
  <si>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</si>
  <si>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</si>
  <si>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</si>
  <si>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</si>
  <si>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</si>
  <si>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</si>
  <si>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</si>
  <si>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</si>
  <si>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</si>
  <si>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</si>
  <si>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</si>
  <si>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</si>
  <si>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</si>
  <si>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</si>
  <si>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</si>
  <si>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</si>
  <si>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</si>
  <si>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</si>
  <si>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</si>
  <si>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</si>
  <si>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</si>
  <si>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</si>
  <si>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</si>
  <si>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</si>
  <si>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</si>
  <si>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</si>
  <si>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</si>
  <si>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</si>
  <si>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</si>
  <si>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</si>
  <si>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</si>
  <si>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</si>
  <si>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</si>
  <si>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</si>
  <si>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</si>
  <si>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</si>
  <si>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</si>
  <si>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</si>
  <si>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</si>
  <si>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</si>
  <si>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</si>
  <si>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</si>
  <si>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</si>
  <si>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</si>
  <si>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</si>
  <si>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</si>
  <si>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</si>
  <si>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</si>
  <si>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</si>
  <si>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</si>
  <si>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</si>
  <si>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</si>
  <si>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</si>
  <si>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</si>
  <si>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</si>
  <si>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</si>
  <si>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</si>
  <si>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</si>
  <si>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</si>
  <si>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</si>
  <si>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</si>
  <si>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</si>
  <si>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</si>
  <si>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</si>
  <si>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</si>
  <si>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</si>
  <si>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</si>
  <si>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</si>
  <si>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</si>
  <si>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</si>
  <si>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</si>
  <si>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</si>
  <si>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</si>
  <si>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</si>
  <si>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</si>
  <si>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</si>
  <si>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</si>
  <si>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</si>
  <si>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</si>
  <si>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</si>
  <si>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</si>
  <si>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</si>
  <si>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</si>
  <si>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</si>
  <si>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</si>
  <si>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</si>
  <si>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</si>
  <si>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</si>
  <si>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</si>
  <si>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</si>
  <si>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</si>
  <si>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</si>
  <si>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</si>
  <si>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</si>
  <si>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</si>
  <si>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</si>
  <si>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</si>
  <si>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</si>
  <si>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</si>
  <si>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</si>
  <si>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Rule of Law and Security Institutions are able to more effectively prevent, investigate and prosecute drug trafficking and transnational organized crime reducing country's sources of fragility</t>
  </si>
  <si>
    <t>National security agencies and justice sectors improve their strategic and operational coordination capacity to prevent, investigate and prosecute drug trafficking and transnational organized crime.</t>
  </si>
  <si>
    <t>Support the development and implementation of the National Strategic Plan to counter drug trafficking and transnational organized crime in close collaboration with regional and sub-regional organizations.</t>
  </si>
  <si>
    <t>Support the elaboration of an internal strategy to combat corruption and improve transparence within the rule of law institutions</t>
  </si>
  <si>
    <t>Support the development and implementation of the National Strategic Plan to prevent and protect victims of human trafficking</t>
  </si>
  <si>
    <t>UNDP</t>
  </si>
  <si>
    <t>UNODC</t>
  </si>
  <si>
    <t>IOM</t>
  </si>
  <si>
    <t>Provide legislative assistance for the review and development of a legal framework to tackle drug trafficking and transnational organized crime</t>
  </si>
  <si>
    <t>Facilitate discussion sessions with security and justice institutions, key countries (providers and receivers) and organizations to enhance regional cooperation on prevention, investigation and prosecution of drug trafficking and transnational organized crime</t>
  </si>
  <si>
    <t xml:space="preserve">Develop and enhance existing strategic and operational coordination mechanisms among security and justice sectors, including law enforcement agencies, and judiciary. </t>
  </si>
  <si>
    <t>Security and justice sector institutions have improved capacity to effectively investigate, prosecute and adjudicate drug trafficking / transnational organized crime cases</t>
  </si>
  <si>
    <t>Support inter-agency exchange of information and operational coordination among law enforcement agencies and relevant stakeholders on prevention and investigation of transnational organized crime</t>
  </si>
  <si>
    <t>Advisory support to the Superior Council for Police and Internal Security Coordination (COSIPOL)  as the strategic and operational coordination mechanism of Law enforcement agencies on DTOC that affects internal security of the country.</t>
  </si>
  <si>
    <t>Provide technical assistance to law enforcement agencies to develop training curricula on detection and investigation of drug trafficking and transnational organized crime, as well as on ethics and gender.</t>
  </si>
  <si>
    <t>Deliver a Training of Trainers Programme to establish an inter-agency pool of national trainers on detection, investigation and prosecution of drug trafficking and transnational organized crime and provide on-site mentoring during the first cycle of national training delivery</t>
  </si>
  <si>
    <t xml:space="preserve">Support through capacity building trainings, equipments the mandate implementation of specialized units to combat drug trafficking and transnational organized crime. </t>
  </si>
  <si>
    <t xml:space="preserve">Reinforce the security in Bafata detention facility to host the detainees condemn for DTOC cases </t>
  </si>
  <si>
    <t>Provide technical advisory services and mentoring to the prosecutor’s office to improve its capacity to prosecute crimes related to drug trafficking and transnational organized crime</t>
  </si>
  <si>
    <t xml:space="preserve">The democratic governance and civilian oversight over the security practices and institutions responsible to combat drug trafficking and transnational organized crime is enhanced.  </t>
  </si>
  <si>
    <t>Convene a series of national consultation and trainings with all leading institutions to clarify the division of labor, mandate and responsibilities among security, justice and civil society actors.</t>
  </si>
  <si>
    <t>Provide advisory support and dedicated trainings to the new elected legislative, in particular the security, justice and defense committees, to exercise oversight over the security institutions</t>
  </si>
  <si>
    <t>Enhance and replicate existing community-oriented practices and networks with a focus on analysis the impact and enhance the response of the justice and security institutions to the needs of vulnerable groups, including women, men, boys and girls</t>
  </si>
  <si>
    <t>Support to the National Drug Observatory to enhance coordination and cooperation between the Government and civil society in particular youth and women groups and act as a platform of Early Warning mechanism on DTOC</t>
  </si>
  <si>
    <t>Strengthen community and national awareness on the risk of drug trafficking and transnational organized crime through awareness raising campaigns engaging women, youth and volunteers’ networks and associations in all the country</t>
  </si>
  <si>
    <t>Support the creation of an early warning system based on existing vigilance committees and CSOs networks in the region for early detection and prevention of possible cases human trafficking</t>
  </si>
  <si>
    <t xml:space="preserve">
NOB- Project Coordinator
SB4 - Finance &amp; Admin Assit 
UNODC Drug Control and Crime Prevention Officer  </t>
  </si>
  <si>
    <t>Connectivity, Office Supplies, Printing, Fuel</t>
  </si>
  <si>
    <t xml:space="preserve">Monitoring &amp; Communications </t>
  </si>
  <si>
    <t>Activity 1.1.9</t>
  </si>
  <si>
    <t>Advisory support to the Transnational Crime Unit (TCU) Management Board with oversight responsibility over this specialized Unit designated for criminal-intelligence gathering on DTOC</t>
  </si>
  <si>
    <t>Activity 1.1.10</t>
  </si>
  <si>
    <t>Enhance capacities of the Ministry of Justice and relevant authorities to produce periodic analysis on data collected on drug and human trafficking</t>
  </si>
  <si>
    <t>Activity 1.1.11</t>
  </si>
  <si>
    <t>Support the inspection services and external oversight mechanisms in rule of law institutions.</t>
  </si>
  <si>
    <t>Extend the development of Case Management System on DTOC to the offices of the Prosecutor General and the courts</t>
  </si>
  <si>
    <t xml:space="preserve">Total Expenditure </t>
  </si>
  <si>
    <t>Support the replication of model police station (Gabu) in close coordination with local community</t>
  </si>
  <si>
    <t>Activity 1.1.6:</t>
  </si>
  <si>
    <t xml:space="preserve">Strengthen criminal investigations and four border control services and Bafata outpost (judiciary police) through refurbishment, capacity building and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</si>
</sst>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79998168889431442"/>
        <bgColor rgb="FF000000"/>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24">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49" xfId="1" applyFont="1" applyFill="1" applyBorder="1" applyAlignment="1" applyProtection="1">
      <alignment wrapText="1"/>
    </xf>
    <xf numFmtId="164" fontId="3" fillId="2" borderId="50"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0" fontId="0" fillId="2" borderId="12" xfId="0" applyFont="1" applyFill="1" applyBorder="1" applyAlignment="1">
      <alignment wrapText="1"/>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1"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8" borderId="3" xfId="0" applyNumberFormat="1" applyFont="1" applyFill="1" applyBorder="1" applyAlignment="1">
      <alignment horizontal="center" vertical="center" wrapText="1"/>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164" fontId="15" fillId="9" borderId="0" xfId="1" applyFont="1" applyFill="1" applyBorder="1" applyAlignment="1">
      <alignment wrapText="1"/>
    </xf>
    <xf numFmtId="164" fontId="13" fillId="9" borderId="0" xfId="1" applyFont="1" applyFill="1" applyBorder="1" applyAlignment="1">
      <alignment horizontal="left" wrapText="1"/>
    </xf>
    <xf numFmtId="0" fontId="2" fillId="9" borderId="3" xfId="0" applyFont="1" applyFill="1" applyBorder="1" applyAlignment="1" applyProtection="1">
      <alignment horizontal="center" vertical="center" wrapText="1"/>
    </xf>
    <xf numFmtId="164" fontId="6" fillId="9" borderId="3" xfId="1" applyFont="1" applyFill="1" applyBorder="1" applyAlignment="1" applyProtection="1">
      <alignment horizontal="center" vertical="center" wrapText="1"/>
      <protection locked="0"/>
    </xf>
    <xf numFmtId="164" fontId="3" fillId="9" borderId="3" xfId="1" applyFont="1" applyFill="1" applyBorder="1" applyAlignment="1" applyProtection="1">
      <alignment horizontal="center" vertical="center" wrapText="1"/>
    </xf>
    <xf numFmtId="164" fontId="18" fillId="10" borderId="3" xfId="0" applyNumberFormat="1" applyFont="1" applyFill="1" applyBorder="1" applyAlignment="1">
      <alignment horizontal="center" vertical="center" wrapText="1"/>
    </xf>
    <xf numFmtId="164" fontId="6" fillId="9" borderId="0" xfId="1" applyFont="1" applyFill="1" applyBorder="1" applyAlignment="1" applyProtection="1">
      <alignment vertical="center" wrapText="1"/>
      <protection locked="0"/>
    </xf>
    <xf numFmtId="164" fontId="6" fillId="9" borderId="3" xfId="1" applyFont="1" applyFill="1" applyBorder="1" applyAlignment="1" applyProtection="1">
      <alignment vertical="center" wrapText="1"/>
      <protection locked="0"/>
    </xf>
    <xf numFmtId="164" fontId="0" fillId="9" borderId="0" xfId="1" applyFont="1" applyFill="1" applyBorder="1" applyAlignment="1">
      <alignment wrapText="1"/>
    </xf>
    <xf numFmtId="164" fontId="3" fillId="9" borderId="0" xfId="1" applyFont="1" applyFill="1" applyBorder="1" applyAlignment="1">
      <alignment vertical="center" wrapText="1"/>
    </xf>
    <xf numFmtId="164" fontId="3" fillId="9" borderId="0" xfId="1" applyFont="1" applyFill="1" applyBorder="1" applyAlignment="1" applyProtection="1">
      <alignment horizontal="center" vertical="center" wrapText="1"/>
    </xf>
    <xf numFmtId="164" fontId="3" fillId="9" borderId="0" xfId="1" applyFont="1" applyFill="1" applyBorder="1" applyAlignment="1" applyProtection="1">
      <alignment vertical="center" wrapText="1"/>
      <protection locked="0"/>
    </xf>
    <xf numFmtId="164" fontId="3" fillId="9" borderId="0" xfId="1" applyFont="1" applyFill="1" applyBorder="1" applyAlignment="1" applyProtection="1">
      <alignment horizontal="right" vertical="center" wrapText="1"/>
      <protection locked="0"/>
    </xf>
    <xf numFmtId="164" fontId="3" fillId="9" borderId="0" xfId="1" applyFont="1" applyFill="1" applyBorder="1" applyAlignment="1" applyProtection="1">
      <alignment vertical="center" wrapText="1"/>
    </xf>
    <xf numFmtId="164" fontId="0" fillId="9" borderId="16" xfId="1" applyFont="1" applyFill="1" applyBorder="1" applyAlignment="1">
      <alignment vertical="center" wrapText="1"/>
    </xf>
    <xf numFmtId="9" fontId="0" fillId="9" borderId="14" xfId="2" applyFont="1" applyFill="1" applyBorder="1" applyAlignment="1">
      <alignment wrapText="1"/>
    </xf>
    <xf numFmtId="164" fontId="24" fillId="0" borderId="3" xfId="1" applyFont="1" applyBorder="1" applyAlignment="1" applyProtection="1">
      <alignment horizontal="center" vertical="center" wrapText="1"/>
      <protection locked="0"/>
    </xf>
    <xf numFmtId="164" fontId="24" fillId="3" borderId="3" xfId="1" applyFont="1" applyFill="1" applyBorder="1" applyAlignment="1" applyProtection="1">
      <alignment horizontal="center" vertical="center" wrapText="1"/>
      <protection locked="0"/>
    </xf>
    <xf numFmtId="0" fontId="17" fillId="0" borderId="0" xfId="0" applyFont="1" applyAlignment="1" applyProtection="1">
      <alignment wrapText="1"/>
      <protection locked="0"/>
    </xf>
    <xf numFmtId="164" fontId="1" fillId="0" borderId="3" xfId="1"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0" fontId="0" fillId="3" borderId="0" xfId="0" applyFill="1" applyAlignment="1" applyProtection="1">
      <alignment wrapText="1"/>
      <protection locked="0"/>
    </xf>
    <xf numFmtId="0" fontId="1" fillId="2" borderId="3" xfId="0" applyFont="1" applyFill="1" applyBorder="1" applyAlignment="1">
      <alignment vertical="center" wrapText="1"/>
    </xf>
    <xf numFmtId="164" fontId="1" fillId="2" borderId="3" xfId="1" applyFont="1" applyFill="1" applyBorder="1" applyAlignment="1" applyProtection="1">
      <alignment horizontal="center" vertical="center"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24" fillId="0" borderId="3" xfId="0" applyNumberFormat="1" applyFont="1" applyBorder="1" applyAlignment="1" applyProtection="1">
      <alignment wrapText="1"/>
      <protection locked="0"/>
    </xf>
    <xf numFmtId="9" fontId="0" fillId="0" borderId="0" xfId="2" applyNumberFormat="1" applyFont="1" applyFill="1" applyBorder="1" applyAlignment="1">
      <alignment wrapText="1"/>
    </xf>
    <xf numFmtId="164" fontId="0" fillId="0" borderId="0" xfId="0" applyNumberFormat="1" applyFont="1" applyBorder="1" applyAlignment="1">
      <alignment wrapText="1"/>
    </xf>
    <xf numFmtId="10" fontId="0" fillId="0" borderId="0" xfId="2" applyNumberFormat="1" applyFont="1" applyBorder="1" applyAlignment="1">
      <alignment wrapText="1"/>
    </xf>
    <xf numFmtId="165" fontId="0" fillId="0" borderId="0" xfId="3" applyFont="1" applyFill="1" applyBorder="1" applyAlignment="1">
      <alignment wrapText="1"/>
    </xf>
    <xf numFmtId="164" fontId="6" fillId="0" borderId="0" xfId="0" applyNumberFormat="1" applyFont="1" applyBorder="1" applyAlignment="1">
      <alignment wrapText="1"/>
    </xf>
    <xf numFmtId="164" fontId="6" fillId="0" borderId="0" xfId="0" applyNumberFormat="1" applyFont="1" applyFill="1" applyBorder="1" applyAlignment="1">
      <alignment wrapText="1"/>
    </xf>
    <xf numFmtId="165" fontId="6" fillId="0" borderId="0" xfId="3" applyFont="1" applyBorder="1" applyAlignment="1">
      <alignment wrapText="1"/>
    </xf>
    <xf numFmtId="164" fontId="3" fillId="0" borderId="0" xfId="0" applyNumberFormat="1" applyFont="1" applyFill="1" applyBorder="1" applyAlignment="1">
      <alignment horizontal="center" vertical="center" wrapText="1"/>
    </xf>
    <xf numFmtId="164" fontId="24" fillId="9" borderId="3" xfId="1" applyFont="1" applyFill="1" applyBorder="1" applyAlignment="1" applyProtection="1">
      <alignment horizontal="center" vertical="center" wrapText="1"/>
      <protection locked="0"/>
    </xf>
    <xf numFmtId="164" fontId="24" fillId="9" borderId="3" xfId="1" applyFont="1" applyFill="1" applyBorder="1" applyAlignment="1" applyProtection="1">
      <alignment vertical="center" wrapText="1"/>
      <protection locked="0"/>
    </xf>
    <xf numFmtId="164" fontId="24" fillId="0" borderId="39"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165" fontId="6" fillId="3" borderId="0" xfId="3" applyFont="1" applyFill="1" applyBorder="1" applyAlignment="1">
      <alignment wrapText="1"/>
    </xf>
    <xf numFmtId="165" fontId="6" fillId="0" borderId="0" xfId="0" applyNumberFormat="1" applyFont="1" applyBorder="1" applyAlignment="1">
      <alignment wrapText="1"/>
    </xf>
    <xf numFmtId="164" fontId="6" fillId="3" borderId="0" xfId="0" applyNumberFormat="1" applyFont="1" applyFill="1" applyBorder="1" applyAlignment="1">
      <alignment wrapText="1"/>
    </xf>
    <xf numFmtId="0" fontId="24" fillId="0" borderId="3" xfId="0" applyFont="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2" borderId="3" xfId="0" applyFont="1" applyFill="1" applyBorder="1" applyAlignment="1" applyProtection="1">
      <alignment vertical="center" wrapText="1"/>
    </xf>
    <xf numFmtId="164" fontId="1" fillId="3" borderId="0" xfId="0" applyNumberFormat="1" applyFont="1" applyFill="1" applyBorder="1" applyAlignment="1">
      <alignment wrapText="1"/>
    </xf>
    <xf numFmtId="165" fontId="6" fillId="3" borderId="0" xfId="0" applyNumberFormat="1" applyFont="1" applyFill="1" applyBorder="1" applyAlignment="1">
      <alignment wrapText="1"/>
    </xf>
    <xf numFmtId="0" fontId="21"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3" xfId="0" applyFont="1" applyFill="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2"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4" xfId="0" applyNumberFormat="1" applyFont="1" applyFill="1" applyBorder="1" applyAlignment="1">
      <alignment horizontal="center"/>
    </xf>
    <xf numFmtId="164" fontId="4"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4" fillId="2" borderId="41" xfId="0" applyFont="1" applyFill="1" applyBorder="1" applyAlignment="1">
      <alignment horizontal="left"/>
    </xf>
    <xf numFmtId="0" fontId="4" fillId="2" borderId="42" xfId="0" applyFont="1" applyFill="1" applyBorder="1" applyAlignment="1">
      <alignment horizontal="left"/>
    </xf>
    <xf numFmtId="0" fontId="4" fillId="2" borderId="43"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2"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4">
    <cellStyle name="Moeda" xfId="1" builtinId="4"/>
    <cellStyle name="Normal" xfId="0" builtinId="0"/>
    <cellStyle name="Percentagem" xfId="2" builtinId="5"/>
    <cellStyle name="Vírgula" xfId="3" builtinId="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8.7265625" defaultRowHeight="14.5" x14ac:dyDescent="0.35"/>
  <cols>
    <col min="2" max="2" width="127.26953125" customWidth="1"/>
  </cols>
  <sheetData>
    <row r="2" spans="2:5" ht="36.75" customHeight="1" thickBot="1" x14ac:dyDescent="0.4">
      <c r="B2" s="243" t="s">
        <v>409</v>
      </c>
      <c r="C2" s="243"/>
      <c r="D2" s="243"/>
      <c r="E2" s="243"/>
    </row>
    <row r="3" spans="2:5" ht="295.5" customHeight="1" thickBot="1" x14ac:dyDescent="0.4">
      <c r="B3" s="186" t="s">
        <v>435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86"/>
  <sheetViews>
    <sheetView showGridLines="0" showZeros="0" zoomScale="70" zoomScaleNormal="70" workbookViewId="0">
      <pane ySplit="4" topLeftCell="A5" activePane="bottomLeft" state="frozen"/>
      <selection pane="bottomLeft" activeCell="D8" sqref="D8"/>
    </sheetView>
  </sheetViews>
  <sheetFormatPr defaultColWidth="9.1796875" defaultRowHeight="14.5" x14ac:dyDescent="0.35"/>
  <cols>
    <col min="1" max="1" width="9.1796875" style="33"/>
    <col min="2" max="2" width="30.7265625" style="33" customWidth="1"/>
    <col min="3" max="3" width="32.453125" style="33" customWidth="1"/>
    <col min="4" max="4" width="25.1796875" style="33" customWidth="1"/>
    <col min="5" max="6" width="25.7265625" style="33" customWidth="1"/>
    <col min="7" max="7" width="23.1796875" style="33" customWidth="1"/>
    <col min="8" max="8" width="24.26953125" style="33" customWidth="1"/>
    <col min="9" max="9" width="22.453125" style="203" customWidth="1"/>
    <col min="10" max="10" width="25.7265625" style="177" customWidth="1"/>
    <col min="11" max="11" width="30.26953125" style="33" customWidth="1"/>
    <col min="12" max="12" width="18.81640625" style="33" customWidth="1"/>
    <col min="13" max="13" width="9.1796875" style="33"/>
    <col min="14" max="14" width="17.7265625" style="33" customWidth="1"/>
    <col min="15" max="15" width="26.453125" style="33" customWidth="1"/>
    <col min="16" max="16" width="22.453125" style="33" customWidth="1"/>
    <col min="17" max="17" width="29.7265625" style="33" customWidth="1"/>
    <col min="18" max="18" width="23.453125" style="33" customWidth="1"/>
    <col min="19" max="19" width="18.453125" style="33" customWidth="1"/>
    <col min="20" max="20" width="17.453125" style="33" customWidth="1"/>
    <col min="21" max="21" width="25.1796875" style="33" customWidth="1"/>
    <col min="22" max="16384" width="9.1796875" style="33"/>
  </cols>
  <sheetData>
    <row r="1" spans="1:12" ht="30.75" customHeight="1" x14ac:dyDescent="1">
      <c r="B1" s="243" t="s">
        <v>409</v>
      </c>
      <c r="C1" s="243"/>
      <c r="D1" s="243"/>
      <c r="E1" s="243"/>
      <c r="F1" s="31"/>
      <c r="G1" s="31"/>
      <c r="H1" s="32"/>
      <c r="I1" s="195"/>
      <c r="J1" s="176"/>
      <c r="K1" s="32"/>
    </row>
    <row r="2" spans="1:12" ht="16.5" customHeight="1" x14ac:dyDescent="0.6">
      <c r="B2" s="270" t="s">
        <v>51</v>
      </c>
      <c r="C2" s="270"/>
      <c r="D2" s="270"/>
      <c r="E2" s="270"/>
      <c r="F2" s="187"/>
      <c r="G2" s="187"/>
      <c r="H2" s="187"/>
      <c r="I2" s="196"/>
      <c r="J2" s="165"/>
    </row>
    <row r="4" spans="1:12" ht="119.25" customHeight="1" x14ac:dyDescent="0.35">
      <c r="B4" s="41" t="s">
        <v>421</v>
      </c>
      <c r="C4" s="41" t="s">
        <v>422</v>
      </c>
      <c r="D4" s="65" t="s">
        <v>441</v>
      </c>
      <c r="E4" s="65" t="s">
        <v>442</v>
      </c>
      <c r="F4" s="65" t="s">
        <v>443</v>
      </c>
      <c r="G4" s="93" t="s">
        <v>48</v>
      </c>
      <c r="H4" s="41" t="s">
        <v>423</v>
      </c>
      <c r="I4" s="197" t="s">
        <v>427</v>
      </c>
      <c r="J4" s="183" t="s">
        <v>432</v>
      </c>
      <c r="K4" s="184" t="s">
        <v>434</v>
      </c>
      <c r="L4" s="40"/>
    </row>
    <row r="5" spans="1:12" ht="51" customHeight="1" x14ac:dyDescent="0.35">
      <c r="B5" s="90" t="s">
        <v>0</v>
      </c>
      <c r="C5" s="271" t="s">
        <v>436</v>
      </c>
      <c r="D5" s="272"/>
      <c r="E5" s="272"/>
      <c r="F5" s="272"/>
      <c r="G5" s="272"/>
      <c r="H5" s="272"/>
      <c r="I5" s="272"/>
      <c r="J5" s="272"/>
      <c r="K5" s="273"/>
      <c r="L5" s="16"/>
    </row>
    <row r="6" spans="1:12" ht="51" customHeight="1" x14ac:dyDescent="0.35">
      <c r="B6" s="90" t="s">
        <v>1</v>
      </c>
      <c r="C6" s="263" t="s">
        <v>437</v>
      </c>
      <c r="D6" s="264"/>
      <c r="E6" s="264"/>
      <c r="F6" s="264"/>
      <c r="G6" s="264"/>
      <c r="H6" s="264"/>
      <c r="I6" s="264"/>
      <c r="J6" s="264"/>
      <c r="K6" s="265"/>
      <c r="L6" s="43"/>
    </row>
    <row r="7" spans="1:12" ht="108.5" x14ac:dyDescent="0.35">
      <c r="B7" s="140" t="s">
        <v>2</v>
      </c>
      <c r="C7" s="238" t="s">
        <v>438</v>
      </c>
      <c r="D7" s="211"/>
      <c r="E7" s="211">
        <v>30000</v>
      </c>
      <c r="F7" s="211"/>
      <c r="G7" s="120">
        <f>SUM(D7:F7)</f>
        <v>30000</v>
      </c>
      <c r="H7" s="117">
        <f>+J7/G7</f>
        <v>0.36666666666666664</v>
      </c>
      <c r="I7" s="231">
        <v>23435</v>
      </c>
      <c r="J7" s="159">
        <v>11000</v>
      </c>
      <c r="K7" s="105"/>
      <c r="L7" s="44"/>
    </row>
    <row r="8" spans="1:12" ht="77.5" x14ac:dyDescent="0.35">
      <c r="B8" s="234" t="s">
        <v>3</v>
      </c>
      <c r="C8" s="238" t="s">
        <v>440</v>
      </c>
      <c r="D8" s="211"/>
      <c r="E8" s="211">
        <v>10000</v>
      </c>
      <c r="F8" s="211">
        <v>50000</v>
      </c>
      <c r="G8" s="120">
        <f>SUM(D8:F8)</f>
        <v>60000</v>
      </c>
      <c r="H8" s="117">
        <f>+J8/G8</f>
        <v>0.6</v>
      </c>
      <c r="I8" s="231">
        <f>38000+10000+8000</f>
        <v>56000</v>
      </c>
      <c r="J8" s="159">
        <v>36000</v>
      </c>
      <c r="K8" s="105"/>
      <c r="L8" s="44"/>
    </row>
    <row r="9" spans="1:12" ht="124" x14ac:dyDescent="0.35">
      <c r="B9" s="140" t="s">
        <v>4</v>
      </c>
      <c r="C9" s="238" t="s">
        <v>449</v>
      </c>
      <c r="D9" s="211"/>
      <c r="E9" s="211">
        <v>10000</v>
      </c>
      <c r="F9" s="211"/>
      <c r="G9" s="120">
        <f t="shared" ref="G9" si="0">SUM(D9:F9)</f>
        <v>10000</v>
      </c>
      <c r="H9" s="118"/>
      <c r="I9" s="198"/>
      <c r="J9" s="159"/>
      <c r="K9" s="106"/>
      <c r="L9" s="44"/>
    </row>
    <row r="10" spans="1:12" ht="77.5" x14ac:dyDescent="0.35">
      <c r="B10" s="140" t="s">
        <v>29</v>
      </c>
      <c r="C10" s="239" t="s">
        <v>468</v>
      </c>
      <c r="D10" s="212"/>
      <c r="E10" s="212">
        <v>15000</v>
      </c>
      <c r="F10" s="212">
        <v>15000</v>
      </c>
      <c r="G10" s="218">
        <f t="shared" ref="G10" si="1">SUM(D10:F10)</f>
        <v>30000</v>
      </c>
      <c r="H10" s="118">
        <f>+J10/G10</f>
        <v>0</v>
      </c>
      <c r="I10" s="231">
        <f>12000+14000</f>
        <v>26000</v>
      </c>
      <c r="J10" s="159"/>
      <c r="K10" s="106"/>
      <c r="L10" s="44"/>
    </row>
    <row r="11" spans="1:12" ht="77.5" x14ac:dyDescent="0.35">
      <c r="B11" s="234" t="s">
        <v>30</v>
      </c>
      <c r="C11" s="238" t="s">
        <v>444</v>
      </c>
      <c r="D11" s="213"/>
      <c r="E11" s="212">
        <v>50000</v>
      </c>
      <c r="F11" s="212"/>
      <c r="G11" s="120">
        <f>SUM(D11:F11)</f>
        <v>50000</v>
      </c>
      <c r="H11" s="117">
        <f>+J11/G11</f>
        <v>0.46800000000000003</v>
      </c>
      <c r="I11" s="231">
        <f>30000+8000-447.41</f>
        <v>37552.589999999997</v>
      </c>
      <c r="J11" s="159">
        <v>23400</v>
      </c>
      <c r="K11" s="105"/>
      <c r="L11" s="44"/>
    </row>
    <row r="12" spans="1:12" ht="77.5" x14ac:dyDescent="0.35">
      <c r="B12" s="234" t="s">
        <v>474</v>
      </c>
      <c r="C12" s="238" t="s">
        <v>439</v>
      </c>
      <c r="D12" s="212">
        <v>30000</v>
      </c>
      <c r="E12" s="212">
        <v>10000</v>
      </c>
      <c r="F12" s="212"/>
      <c r="G12" s="120">
        <f t="shared" ref="G12:G16" si="2">SUM(D12:F12)</f>
        <v>40000</v>
      </c>
      <c r="H12" s="117">
        <f>+J12/G12</f>
        <v>0.35353449999999997</v>
      </c>
      <c r="I12" s="231">
        <f>23034.16+40388.71+17385</f>
        <v>80807.87</v>
      </c>
      <c r="J12" s="159">
        <v>14141.38</v>
      </c>
      <c r="K12" s="105"/>
      <c r="L12" s="44"/>
    </row>
    <row r="13" spans="1:12" ht="62" x14ac:dyDescent="0.35">
      <c r="A13" s="34"/>
      <c r="B13" s="140" t="s">
        <v>31</v>
      </c>
      <c r="C13" s="239" t="s">
        <v>470</v>
      </c>
      <c r="D13" s="212">
        <v>20000</v>
      </c>
      <c r="E13" s="212"/>
      <c r="F13" s="212"/>
      <c r="G13" s="120">
        <f>SUM(D13:F13)</f>
        <v>20000</v>
      </c>
      <c r="H13" s="117">
        <f>+J13/G13</f>
        <v>0.32500000000000001</v>
      </c>
      <c r="I13" s="231">
        <v>41672</v>
      </c>
      <c r="J13" s="159">
        <v>6500</v>
      </c>
      <c r="K13" s="106"/>
      <c r="L13" s="35"/>
    </row>
    <row r="14" spans="1:12" ht="124" x14ac:dyDescent="0.35">
      <c r="B14" s="217" t="s">
        <v>32</v>
      </c>
      <c r="C14" s="189" t="s">
        <v>445</v>
      </c>
      <c r="D14" s="211"/>
      <c r="E14" s="211">
        <v>20000</v>
      </c>
      <c r="F14" s="211"/>
      <c r="G14" s="120">
        <f t="shared" si="2"/>
        <v>20000</v>
      </c>
      <c r="H14" s="117"/>
      <c r="I14" s="198"/>
      <c r="J14" s="159"/>
      <c r="K14" s="105"/>
      <c r="L14" s="44"/>
    </row>
    <row r="15" spans="1:12" ht="93" x14ac:dyDescent="0.35">
      <c r="B15" s="217" t="s">
        <v>465</v>
      </c>
      <c r="C15" s="189" t="s">
        <v>446</v>
      </c>
      <c r="D15" s="211"/>
      <c r="E15" s="211">
        <v>10000</v>
      </c>
      <c r="F15" s="211"/>
      <c r="G15" s="120">
        <f t="shared" si="2"/>
        <v>10000</v>
      </c>
      <c r="H15" s="117"/>
      <c r="I15" s="198"/>
      <c r="J15" s="159"/>
      <c r="K15" s="105"/>
      <c r="L15" s="44"/>
    </row>
    <row r="16" spans="1:12" ht="108.5" x14ac:dyDescent="0.35">
      <c r="B16" s="217" t="s">
        <v>467</v>
      </c>
      <c r="C16" s="189" t="s">
        <v>448</v>
      </c>
      <c r="D16" s="211"/>
      <c r="E16" s="211">
        <v>10000</v>
      </c>
      <c r="F16" s="211"/>
      <c r="G16" s="120">
        <f t="shared" si="2"/>
        <v>10000</v>
      </c>
      <c r="H16" s="118"/>
      <c r="I16" s="198"/>
      <c r="J16" s="159"/>
      <c r="K16" s="106"/>
      <c r="L16" s="44"/>
    </row>
    <row r="17" spans="1:12" ht="93" x14ac:dyDescent="0.35">
      <c r="B17" s="217" t="s">
        <v>469</v>
      </c>
      <c r="C17" s="190" t="s">
        <v>466</v>
      </c>
      <c r="D17" s="212"/>
      <c r="E17" s="212">
        <v>10000</v>
      </c>
      <c r="F17" s="212"/>
      <c r="G17" s="218">
        <f t="shared" ref="G17" si="3">SUM(E17:F17)</f>
        <v>10000</v>
      </c>
      <c r="H17" s="118"/>
      <c r="I17" s="198"/>
      <c r="J17" s="159"/>
      <c r="K17" s="106"/>
      <c r="L17" s="44"/>
    </row>
    <row r="18" spans="1:12" ht="15.5" x14ac:dyDescent="0.35">
      <c r="A18" s="34"/>
      <c r="C18" s="90" t="s">
        <v>50</v>
      </c>
      <c r="D18" s="17">
        <f>SUM(D7:D17)</f>
        <v>50000</v>
      </c>
      <c r="E18" s="17">
        <f>SUM(E7:E17)</f>
        <v>175000</v>
      </c>
      <c r="F18" s="17">
        <f>SUM(F7:F17)</f>
        <v>65000</v>
      </c>
      <c r="G18" s="17">
        <f>SUM(G7:G17)</f>
        <v>290000</v>
      </c>
      <c r="H18" s="107">
        <f>(H7*G7)+(H12*G12)+(H8*G8)+(H11*G11)+(H14*G14)+(H15*G15)+(H16*G16)+(H13*G13)</f>
        <v>91041.38</v>
      </c>
      <c r="I18" s="199">
        <f>SUM(I7:I17)</f>
        <v>265467.45999999996</v>
      </c>
      <c r="J18" s="199"/>
      <c r="K18" s="106"/>
      <c r="L18" s="45"/>
    </row>
    <row r="19" spans="1:12" ht="51" customHeight="1" x14ac:dyDescent="0.35">
      <c r="A19" s="34"/>
      <c r="B19" s="90" t="s">
        <v>5</v>
      </c>
      <c r="C19" s="260" t="s">
        <v>447</v>
      </c>
      <c r="D19" s="261"/>
      <c r="E19" s="261"/>
      <c r="F19" s="261"/>
      <c r="G19" s="261"/>
      <c r="H19" s="261"/>
      <c r="I19" s="261"/>
      <c r="J19" s="261"/>
      <c r="K19" s="262"/>
      <c r="L19" s="43"/>
    </row>
    <row r="20" spans="1:12" ht="108.5" x14ac:dyDescent="0.35">
      <c r="A20" s="34"/>
      <c r="B20" s="240" t="s">
        <v>39</v>
      </c>
      <c r="C20" s="238" t="s">
        <v>450</v>
      </c>
      <c r="D20" s="211"/>
      <c r="E20" s="211">
        <v>30000</v>
      </c>
      <c r="F20" s="214"/>
      <c r="G20" s="120">
        <f>SUM(D20:F20)</f>
        <v>30000</v>
      </c>
      <c r="H20" s="117"/>
      <c r="I20" s="198"/>
      <c r="J20" s="159"/>
      <c r="K20" s="105"/>
      <c r="L20" s="44"/>
    </row>
    <row r="21" spans="1:12" ht="139.5" x14ac:dyDescent="0.35">
      <c r="A21" s="34"/>
      <c r="B21" s="140" t="s">
        <v>40</v>
      </c>
      <c r="C21" s="238" t="s">
        <v>451</v>
      </c>
      <c r="D21" s="211"/>
      <c r="E21" s="211">
        <v>50000</v>
      </c>
      <c r="F21" s="214"/>
      <c r="G21" s="120">
        <f t="shared" ref="G21:G27" si="4">SUM(D21:F21)</f>
        <v>50000</v>
      </c>
      <c r="H21" s="117">
        <f>+J21/G21</f>
        <v>0.48</v>
      </c>
      <c r="I21" s="231">
        <f>40000+5000</f>
        <v>45000</v>
      </c>
      <c r="J21" s="159">
        <v>24000</v>
      </c>
      <c r="K21" s="105"/>
      <c r="L21" s="44"/>
    </row>
    <row r="22" spans="1:12" ht="93" x14ac:dyDescent="0.35">
      <c r="A22" s="34"/>
      <c r="B22" s="140" t="s">
        <v>33</v>
      </c>
      <c r="C22" s="238" t="s">
        <v>452</v>
      </c>
      <c r="D22" s="211">
        <v>40000</v>
      </c>
      <c r="E22" s="211">
        <v>75000</v>
      </c>
      <c r="F22" s="214"/>
      <c r="G22" s="120">
        <f t="shared" si="4"/>
        <v>115000</v>
      </c>
      <c r="H22" s="117">
        <f>+J22/G22</f>
        <v>0.46869565217391307</v>
      </c>
      <c r="I22" s="231">
        <f>76629.22+20000</f>
        <v>96629.22</v>
      </c>
      <c r="J22" s="159">
        <v>53900</v>
      </c>
      <c r="K22" s="105"/>
      <c r="L22" s="44"/>
    </row>
    <row r="23" spans="1:12" ht="62" x14ac:dyDescent="0.35">
      <c r="A23" s="34"/>
      <c r="B23" s="140" t="s">
        <v>34</v>
      </c>
      <c r="C23" s="238" t="s">
        <v>453</v>
      </c>
      <c r="D23" s="211">
        <v>50000</v>
      </c>
      <c r="E23" s="211"/>
      <c r="F23" s="214"/>
      <c r="G23" s="120">
        <f>SUM(D23:F23)</f>
        <v>50000</v>
      </c>
      <c r="H23" s="117"/>
      <c r="I23" s="231">
        <v>12411.94</v>
      </c>
      <c r="J23" s="159"/>
      <c r="K23" s="105"/>
      <c r="L23" s="44"/>
    </row>
    <row r="24" spans="1:12" ht="62" x14ac:dyDescent="0.35">
      <c r="A24" s="34"/>
      <c r="B24" s="234" t="s">
        <v>35</v>
      </c>
      <c r="C24" s="238" t="s">
        <v>473</v>
      </c>
      <c r="D24" s="212">
        <v>235000</v>
      </c>
      <c r="E24" s="212"/>
      <c r="F24" s="215"/>
      <c r="G24" s="120">
        <f>SUM(D24:F24)</f>
        <v>235000</v>
      </c>
      <c r="H24" s="117"/>
      <c r="I24" s="231">
        <v>0</v>
      </c>
      <c r="J24" s="159"/>
      <c r="K24" s="105"/>
      <c r="L24" s="44"/>
    </row>
    <row r="25" spans="1:12" ht="108.5" x14ac:dyDescent="0.35">
      <c r="A25" s="34"/>
      <c r="B25" s="234" t="s">
        <v>36</v>
      </c>
      <c r="C25" s="238" t="s">
        <v>475</v>
      </c>
      <c r="D25" s="212">
        <v>80000</v>
      </c>
      <c r="E25" s="212">
        <f>50000+50000</f>
        <v>100000</v>
      </c>
      <c r="F25" s="215">
        <v>40000</v>
      </c>
      <c r="G25" s="120">
        <f>SUM(D25:F25)</f>
        <v>220000</v>
      </c>
      <c r="H25" s="117">
        <f>+J25/G25</f>
        <v>0</v>
      </c>
      <c r="I25" s="231">
        <f>13514+61707</f>
        <v>75221</v>
      </c>
      <c r="J25" s="159"/>
      <c r="K25" s="106"/>
      <c r="L25" s="44"/>
    </row>
    <row r="26" spans="1:12" ht="93" x14ac:dyDescent="0.35">
      <c r="A26" s="34"/>
      <c r="B26" s="234" t="s">
        <v>37</v>
      </c>
      <c r="C26" s="239" t="s">
        <v>454</v>
      </c>
      <c r="D26" s="212">
        <v>15000</v>
      </c>
      <c r="E26" s="212">
        <v>58000</v>
      </c>
      <c r="F26" s="215"/>
      <c r="G26" s="120">
        <f t="shared" ref="G26" si="5">SUM(D26:F26)</f>
        <v>73000</v>
      </c>
      <c r="H26" s="117">
        <f>+J26/G26</f>
        <v>0</v>
      </c>
      <c r="I26" s="231">
        <f>35000+27861.06</f>
        <v>62861.06</v>
      </c>
      <c r="J26" s="159"/>
      <c r="K26" s="106"/>
      <c r="L26" s="44"/>
    </row>
    <row r="27" spans="1:12" ht="62" x14ac:dyDescent="0.35">
      <c r="A27" s="34"/>
      <c r="B27" s="217" t="s">
        <v>38</v>
      </c>
      <c r="C27" s="239" t="s">
        <v>471</v>
      </c>
      <c r="D27" s="215">
        <v>20000</v>
      </c>
      <c r="E27" s="215"/>
      <c r="F27" s="215"/>
      <c r="G27" s="120">
        <f t="shared" si="4"/>
        <v>20000</v>
      </c>
      <c r="H27" s="118"/>
      <c r="I27" s="231">
        <v>0</v>
      </c>
      <c r="J27" s="159"/>
      <c r="K27" s="106"/>
      <c r="L27" s="44"/>
    </row>
    <row r="28" spans="1:12" ht="15.5" x14ac:dyDescent="0.35">
      <c r="A28" s="34"/>
      <c r="C28" s="90" t="s">
        <v>50</v>
      </c>
      <c r="D28" s="20">
        <f>SUM(D20:D27)</f>
        <v>440000</v>
      </c>
      <c r="E28" s="20">
        <f>SUM(E20:E27)</f>
        <v>313000</v>
      </c>
      <c r="F28" s="20">
        <f>SUM(F20:F27)</f>
        <v>40000</v>
      </c>
      <c r="G28" s="20">
        <f>SUM(G20:G27)</f>
        <v>793000</v>
      </c>
      <c r="H28" s="107">
        <f>(H20*G20)+(H21*G21)+(H22*G22)+(H23*G23)+(H24*G24)+(H25*G25)+(H27*G27)</f>
        <v>77900</v>
      </c>
      <c r="I28" s="199">
        <f>SUM(I20:I27)</f>
        <v>292123.21999999997</v>
      </c>
      <c r="J28" s="199">
        <f>SUM(J20:J27)</f>
        <v>77900</v>
      </c>
      <c r="K28" s="106"/>
      <c r="L28" s="45"/>
    </row>
    <row r="29" spans="1:12" ht="51" customHeight="1" x14ac:dyDescent="0.35">
      <c r="A29" s="34"/>
      <c r="B29" s="90" t="s">
        <v>6</v>
      </c>
      <c r="C29" s="260" t="s">
        <v>455</v>
      </c>
      <c r="D29" s="266"/>
      <c r="E29" s="266"/>
      <c r="F29" s="266"/>
      <c r="G29" s="266"/>
      <c r="H29" s="266"/>
      <c r="I29" s="266"/>
      <c r="J29" s="266"/>
      <c r="K29" s="267"/>
      <c r="L29" s="43"/>
    </row>
    <row r="30" spans="1:12" ht="93" x14ac:dyDescent="0.35">
      <c r="A30" s="34"/>
      <c r="B30" s="234" t="s">
        <v>41</v>
      </c>
      <c r="C30" s="238" t="s">
        <v>457</v>
      </c>
      <c r="D30" s="214">
        <v>20000</v>
      </c>
      <c r="E30" s="211">
        <v>10000</v>
      </c>
      <c r="F30" s="214"/>
      <c r="G30" s="120">
        <f>SUM(D30:F30)</f>
        <v>30000</v>
      </c>
      <c r="H30" s="117"/>
      <c r="I30" s="198"/>
      <c r="J30" s="159"/>
      <c r="K30" s="105"/>
      <c r="L30" s="44"/>
    </row>
    <row r="31" spans="1:12" ht="124" x14ac:dyDescent="0.35">
      <c r="A31" s="34"/>
      <c r="B31" s="234" t="s">
        <v>42</v>
      </c>
      <c r="C31" s="238" t="s">
        <v>458</v>
      </c>
      <c r="D31" s="214">
        <v>20000</v>
      </c>
      <c r="E31" s="211"/>
      <c r="F31" s="214"/>
      <c r="G31" s="120">
        <f>SUM(D31:F31)</f>
        <v>20000</v>
      </c>
      <c r="H31" s="117"/>
      <c r="I31" s="231">
        <f>26508+5971.24</f>
        <v>32479.239999999998</v>
      </c>
      <c r="J31" s="159"/>
      <c r="K31" s="105"/>
      <c r="L31" s="44"/>
    </row>
    <row r="32" spans="1:12" ht="124" x14ac:dyDescent="0.35">
      <c r="A32" s="34"/>
      <c r="B32" s="234" t="s">
        <v>43</v>
      </c>
      <c r="C32" s="238" t="s">
        <v>459</v>
      </c>
      <c r="D32" s="214"/>
      <c r="E32" s="211">
        <v>30000</v>
      </c>
      <c r="F32" s="214"/>
      <c r="G32" s="120">
        <f>SUM(D32:F32)</f>
        <v>30000</v>
      </c>
      <c r="H32" s="117"/>
      <c r="I32" s="198"/>
      <c r="J32" s="159"/>
      <c r="K32" s="105"/>
      <c r="L32" s="44"/>
    </row>
    <row r="33" spans="1:12" s="34" customFormat="1" ht="93" x14ac:dyDescent="0.35">
      <c r="B33" s="234" t="s">
        <v>44</v>
      </c>
      <c r="C33" s="238" t="s">
        <v>461</v>
      </c>
      <c r="D33" s="216"/>
      <c r="E33" s="214"/>
      <c r="F33" s="214">
        <v>30000</v>
      </c>
      <c r="G33" s="120">
        <f>SUM(D33:F33)</f>
        <v>30000</v>
      </c>
      <c r="H33" s="117"/>
      <c r="I33" s="231">
        <v>27435</v>
      </c>
      <c r="J33" s="159"/>
      <c r="K33" s="105"/>
      <c r="L33" s="44"/>
    </row>
    <row r="34" spans="1:12" s="34" customFormat="1" ht="124" x14ac:dyDescent="0.35">
      <c r="B34" s="140" t="s">
        <v>45</v>
      </c>
      <c r="C34" s="238" t="s">
        <v>460</v>
      </c>
      <c r="D34" s="214">
        <v>25000</v>
      </c>
      <c r="E34" s="214">
        <v>25000</v>
      </c>
      <c r="F34" s="215">
        <v>25000</v>
      </c>
      <c r="G34" s="120">
        <f t="shared" ref="G34" si="6">SUM(D34:F34)</f>
        <v>75000</v>
      </c>
      <c r="H34" s="117"/>
      <c r="I34" s="231">
        <f>5000+9373.81 +15000+15000+23899.85</f>
        <v>68273.66</v>
      </c>
      <c r="J34" s="159"/>
      <c r="K34" s="105"/>
      <c r="L34" s="44"/>
    </row>
    <row r="35" spans="1:12" ht="93" x14ac:dyDescent="0.35">
      <c r="A35" s="34"/>
      <c r="B35" s="234" t="s">
        <v>46</v>
      </c>
      <c r="C35" s="189" t="s">
        <v>456</v>
      </c>
      <c r="D35" s="214">
        <v>20000</v>
      </c>
      <c r="E35" s="211"/>
      <c r="F35" s="214"/>
      <c r="G35" s="120">
        <f>SUM(D35:F35)</f>
        <v>20000</v>
      </c>
      <c r="H35" s="117"/>
      <c r="I35" s="198"/>
      <c r="J35" s="159"/>
      <c r="K35" s="105"/>
      <c r="L35" s="44"/>
    </row>
    <row r="36" spans="1:12" ht="15.5" x14ac:dyDescent="0.35">
      <c r="C36" s="90" t="s">
        <v>50</v>
      </c>
      <c r="D36" s="17">
        <f>SUM(D30:D35)</f>
        <v>85000</v>
      </c>
      <c r="E36" s="17">
        <f t="shared" ref="E36:H36" si="7">SUM(E30:E35)</f>
        <v>65000</v>
      </c>
      <c r="F36" s="17">
        <f t="shared" si="7"/>
        <v>55000</v>
      </c>
      <c r="G36" s="17">
        <f t="shared" si="7"/>
        <v>205000</v>
      </c>
      <c r="H36" s="17">
        <f t="shared" si="7"/>
        <v>0</v>
      </c>
      <c r="I36" s="199">
        <f>SUM(I30:I35)</f>
        <v>128187.9</v>
      </c>
      <c r="J36" s="178"/>
      <c r="K36" s="106"/>
      <c r="L36" s="45"/>
    </row>
    <row r="37" spans="1:12" ht="15.75" customHeight="1" x14ac:dyDescent="0.35">
      <c r="B37" s="7"/>
      <c r="C37" s="11"/>
      <c r="D37" s="22"/>
      <c r="E37" s="22"/>
      <c r="F37" s="22"/>
      <c r="G37" s="22"/>
      <c r="H37" s="22"/>
      <c r="I37" s="201"/>
      <c r="J37" s="22"/>
      <c r="K37" s="11"/>
      <c r="L37" s="4"/>
    </row>
    <row r="38" spans="1:12" ht="15.75" customHeight="1" x14ac:dyDescent="0.35">
      <c r="B38" s="7"/>
      <c r="C38" s="11"/>
      <c r="D38" s="22"/>
      <c r="E38" s="22"/>
      <c r="F38" s="22"/>
      <c r="G38" s="22"/>
      <c r="H38" s="22"/>
      <c r="I38" s="201"/>
      <c r="J38" s="22"/>
      <c r="K38" s="11"/>
      <c r="L38" s="4"/>
    </row>
    <row r="39" spans="1:12" ht="80" customHeight="1" x14ac:dyDescent="0.35">
      <c r="B39" s="90" t="s">
        <v>411</v>
      </c>
      <c r="C39" s="191" t="s">
        <v>462</v>
      </c>
      <c r="D39" s="193">
        <v>150000</v>
      </c>
      <c r="E39" s="193">
        <v>177000</v>
      </c>
      <c r="F39" s="194">
        <v>40000</v>
      </c>
      <c r="G39" s="108">
        <f>SUM(D39:F39)</f>
        <v>367000</v>
      </c>
      <c r="H39" s="117">
        <f>+J39/G39</f>
        <v>0.30020708446866484</v>
      </c>
      <c r="I39" s="232">
        <f>27141.84+31381.11+41955.09+6504.37+78798+7014.56+83882-5000</f>
        <v>271676.96999999997</v>
      </c>
      <c r="J39" s="180">
        <v>110176</v>
      </c>
      <c r="K39" s="112"/>
      <c r="L39" s="45"/>
    </row>
    <row r="40" spans="1:12" ht="69.75" customHeight="1" x14ac:dyDescent="0.35">
      <c r="B40" s="90" t="s">
        <v>433</v>
      </c>
      <c r="C40" s="191" t="s">
        <v>463</v>
      </c>
      <c r="D40" s="193">
        <v>50000</v>
      </c>
      <c r="E40" s="193">
        <v>20000</v>
      </c>
      <c r="F40" s="194">
        <v>10000</v>
      </c>
      <c r="G40" s="108">
        <f>SUM(D40:F40)</f>
        <v>80000</v>
      </c>
      <c r="H40" s="117">
        <f>+J40/G40</f>
        <v>0.34194999999999998</v>
      </c>
      <c r="I40" s="232">
        <f>54167.26+20000</f>
        <v>74167.260000000009</v>
      </c>
      <c r="J40" s="180">
        <v>27356</v>
      </c>
      <c r="K40" s="112"/>
      <c r="L40" s="45"/>
    </row>
    <row r="41" spans="1:12" ht="57" customHeight="1" x14ac:dyDescent="0.35">
      <c r="B41" s="90" t="s">
        <v>412</v>
      </c>
      <c r="C41" s="192" t="s">
        <v>464</v>
      </c>
      <c r="D41" s="193">
        <v>75000</v>
      </c>
      <c r="E41" s="193"/>
      <c r="F41" s="194">
        <v>10000</v>
      </c>
      <c r="G41" s="108">
        <f>SUM(D41:F41)</f>
        <v>85000</v>
      </c>
      <c r="H41" s="117">
        <f>+J41/G41</f>
        <v>0.16648247058823529</v>
      </c>
      <c r="I41" s="232">
        <v>14151.01</v>
      </c>
      <c r="J41" s="180">
        <v>14151.01</v>
      </c>
      <c r="K41" s="112"/>
      <c r="L41" s="45"/>
    </row>
    <row r="42" spans="1:12" ht="65.25" customHeight="1" x14ac:dyDescent="0.35">
      <c r="B42" s="113" t="s">
        <v>416</v>
      </c>
      <c r="C42" s="15"/>
      <c r="D42" s="193">
        <v>50000</v>
      </c>
      <c r="E42" s="193"/>
      <c r="F42" s="193"/>
      <c r="G42" s="108">
        <f>SUM(D42:F42)</f>
        <v>50000</v>
      </c>
      <c r="H42" s="119"/>
      <c r="I42" s="202"/>
      <c r="J42" s="180"/>
      <c r="K42" s="112"/>
      <c r="L42" s="45"/>
    </row>
    <row r="43" spans="1:12" ht="21.75" customHeight="1" x14ac:dyDescent="0.35">
      <c r="B43" s="7"/>
      <c r="C43" s="114" t="s">
        <v>410</v>
      </c>
      <c r="D43" s="121">
        <f>SUM(D39:D42)</f>
        <v>325000</v>
      </c>
      <c r="E43" s="121">
        <f>SUM(E39:E42)</f>
        <v>197000</v>
      </c>
      <c r="F43" s="121">
        <f>SUM(F39:F42)</f>
        <v>60000</v>
      </c>
      <c r="G43" s="121">
        <f>SUM(G39:G42)</f>
        <v>582000</v>
      </c>
      <c r="H43" s="107">
        <f>(H39*G39)+(H40*G40)+(H41*G41)+(H42*G42)</f>
        <v>151683.01</v>
      </c>
      <c r="I43" s="200">
        <f>SUM(I39:I42)</f>
        <v>359995.24</v>
      </c>
      <c r="J43" s="179"/>
      <c r="K43" s="15"/>
      <c r="L43" s="13"/>
    </row>
    <row r="44" spans="1:12" ht="15.75" customHeight="1" x14ac:dyDescent="0.35">
      <c r="B44" s="7"/>
      <c r="C44" s="11"/>
      <c r="D44" s="22"/>
      <c r="E44" s="22"/>
      <c r="F44" s="22"/>
      <c r="G44" s="22"/>
      <c r="H44" s="22"/>
      <c r="I44" s="201"/>
      <c r="J44" s="22"/>
      <c r="K44" s="11"/>
      <c r="L44" s="13"/>
    </row>
    <row r="45" spans="1:12" ht="15.75" customHeight="1" x14ac:dyDescent="0.35">
      <c r="B45" s="7"/>
      <c r="C45" s="11"/>
      <c r="D45" s="22"/>
      <c r="E45" s="22"/>
      <c r="F45" s="22"/>
      <c r="G45" s="22"/>
      <c r="H45" s="22"/>
      <c r="I45" s="201"/>
      <c r="J45" s="22"/>
      <c r="K45" s="11"/>
      <c r="L45" s="13"/>
    </row>
    <row r="46" spans="1:12" ht="15.75" customHeight="1" x14ac:dyDescent="0.35">
      <c r="B46" s="7"/>
      <c r="C46" s="11"/>
      <c r="D46" s="22"/>
      <c r="E46" s="22"/>
      <c r="F46" s="22"/>
      <c r="G46" s="22"/>
      <c r="H46" s="22"/>
      <c r="I46" s="201"/>
      <c r="J46" s="22"/>
      <c r="K46" s="11"/>
      <c r="L46" s="13"/>
    </row>
    <row r="47" spans="1:12" ht="15.75" customHeight="1" x14ac:dyDescent="0.35">
      <c r="B47" s="7"/>
      <c r="C47" s="11"/>
      <c r="D47" s="22"/>
      <c r="E47" s="22"/>
      <c r="F47" s="22"/>
      <c r="G47" s="22"/>
      <c r="H47" s="22"/>
      <c r="I47" s="201"/>
      <c r="J47" s="22"/>
      <c r="K47" s="11"/>
      <c r="L47" s="13"/>
    </row>
    <row r="48" spans="1:12" ht="15.75" customHeight="1" x14ac:dyDescent="0.35">
      <c r="B48" s="7"/>
      <c r="C48" s="11"/>
      <c r="D48" s="22"/>
      <c r="E48" s="22"/>
      <c r="F48" s="22"/>
      <c r="G48" s="22"/>
      <c r="H48" s="22"/>
      <c r="I48" s="201"/>
      <c r="J48" s="22"/>
      <c r="K48" s="11"/>
      <c r="L48" s="13"/>
    </row>
    <row r="49" spans="2:12" ht="15.75" customHeight="1" x14ac:dyDescent="0.35">
      <c r="B49" s="7"/>
      <c r="C49" s="11"/>
      <c r="D49" s="22"/>
      <c r="E49" s="22"/>
      <c r="F49" s="22"/>
      <c r="G49" s="22"/>
      <c r="H49" s="22"/>
      <c r="I49" s="201"/>
      <c r="J49" s="22"/>
      <c r="K49" s="11"/>
      <c r="L49" s="13"/>
    </row>
    <row r="50" spans="2:12" ht="15.75" customHeight="1" thickBot="1" x14ac:dyDescent="0.4">
      <c r="B50" s="7"/>
      <c r="C50" s="11"/>
      <c r="D50" s="22"/>
      <c r="E50" s="22"/>
      <c r="F50" s="22"/>
      <c r="G50" s="22"/>
      <c r="H50" s="22"/>
      <c r="I50" s="201"/>
      <c r="J50" s="22"/>
      <c r="K50" s="11"/>
      <c r="L50" s="13"/>
    </row>
    <row r="51" spans="2:12" ht="15.5" x14ac:dyDescent="0.35">
      <c r="B51" s="7"/>
      <c r="C51" s="274" t="s">
        <v>16</v>
      </c>
      <c r="D51" s="275"/>
      <c r="E51" s="275"/>
      <c r="F51" s="275"/>
      <c r="G51" s="276"/>
      <c r="H51" s="13"/>
      <c r="I51" s="201"/>
      <c r="J51" s="22"/>
      <c r="K51" s="13"/>
    </row>
    <row r="52" spans="2:12" ht="40.5" customHeight="1" x14ac:dyDescent="0.35">
      <c r="B52" s="7"/>
      <c r="C52" s="250"/>
      <c r="D52" s="277" t="str">
        <f>D4</f>
        <v>UNDP</v>
      </c>
      <c r="E52" s="277" t="str">
        <f>E4</f>
        <v>UNODC</v>
      </c>
      <c r="F52" s="277" t="str">
        <f>F4</f>
        <v>IOM</v>
      </c>
      <c r="G52" s="252" t="s">
        <v>48</v>
      </c>
      <c r="H52" s="11"/>
      <c r="I52" s="201"/>
      <c r="J52" s="22"/>
      <c r="K52" s="13"/>
    </row>
    <row r="53" spans="2:12" ht="24.75" customHeight="1" x14ac:dyDescent="0.35">
      <c r="B53" s="7"/>
      <c r="C53" s="251"/>
      <c r="D53" s="278"/>
      <c r="E53" s="278"/>
      <c r="F53" s="278"/>
      <c r="G53" s="253"/>
      <c r="H53" s="11"/>
      <c r="I53" s="201"/>
      <c r="J53" s="22"/>
      <c r="K53" s="13"/>
    </row>
    <row r="54" spans="2:12" ht="41.25" customHeight="1" x14ac:dyDescent="0.35">
      <c r="B54" s="23"/>
      <c r="C54" s="109" t="s">
        <v>47</v>
      </c>
      <c r="D54" s="91">
        <f>SUM(D18,D28,D36,D39,D40,D41,D42)</f>
        <v>900000</v>
      </c>
      <c r="E54" s="91">
        <f>SUM(E18,E28,E36,E39,E40,E41,E42)</f>
        <v>750000</v>
      </c>
      <c r="F54" s="91">
        <f>SUM(F18,F28,F36,F39,F40,F41,F42)</f>
        <v>220000</v>
      </c>
      <c r="G54" s="110">
        <f>SUM(D54:F54)</f>
        <v>1870000</v>
      </c>
      <c r="H54" s="11"/>
      <c r="I54" s="201"/>
      <c r="J54" s="22"/>
      <c r="K54" s="14"/>
    </row>
    <row r="55" spans="2:12" ht="51.75" customHeight="1" x14ac:dyDescent="0.35">
      <c r="B55" s="5"/>
      <c r="C55" s="109" t="s">
        <v>7</v>
      </c>
      <c r="D55" s="91">
        <f>D54*0.07</f>
        <v>63000.000000000007</v>
      </c>
      <c r="E55" s="91">
        <f>E54*0.07</f>
        <v>52500.000000000007</v>
      </c>
      <c r="F55" s="91">
        <f>F54*0.07</f>
        <v>15400.000000000002</v>
      </c>
      <c r="G55" s="110">
        <f>G54*0.07</f>
        <v>130900.00000000001</v>
      </c>
      <c r="H55" s="5"/>
      <c r="I55" s="201">
        <v>73204.167570164282</v>
      </c>
      <c r="J55" s="22"/>
      <c r="K55" s="2"/>
    </row>
    <row r="56" spans="2:12" ht="51.75" customHeight="1" thickBot="1" x14ac:dyDescent="0.4">
      <c r="B56" s="5"/>
      <c r="C56" s="26" t="s">
        <v>48</v>
      </c>
      <c r="D56" s="96">
        <f>SUM(D54:D55)</f>
        <v>963000</v>
      </c>
      <c r="E56" s="96">
        <f>SUM(E54:E55)</f>
        <v>802500</v>
      </c>
      <c r="F56" s="96">
        <f>SUM(F54:F55)</f>
        <v>235400</v>
      </c>
      <c r="G56" s="111">
        <f>SUM(G54:G55)</f>
        <v>2000900</v>
      </c>
      <c r="H56" s="5"/>
      <c r="K56" s="2"/>
    </row>
    <row r="57" spans="2:12" ht="42" customHeight="1" x14ac:dyDescent="0.35">
      <c r="B57" s="5"/>
      <c r="I57" s="204"/>
      <c r="J57" s="161"/>
      <c r="K57" s="4"/>
      <c r="L57" s="2"/>
    </row>
    <row r="58" spans="2:12" s="34" customFormat="1" ht="29.25" customHeight="1" thickBot="1" x14ac:dyDescent="0.4">
      <c r="B58" s="11"/>
      <c r="C58" s="28"/>
      <c r="D58" s="29"/>
      <c r="E58" s="29"/>
      <c r="F58" s="29"/>
      <c r="G58" s="29"/>
      <c r="H58" s="29"/>
      <c r="I58" s="205"/>
      <c r="J58" s="163"/>
      <c r="K58" s="13"/>
      <c r="L58" s="14"/>
    </row>
    <row r="59" spans="2:12" ht="23.25" customHeight="1" x14ac:dyDescent="0.35">
      <c r="B59" s="2"/>
      <c r="C59" s="245" t="s">
        <v>25</v>
      </c>
      <c r="D59" s="246"/>
      <c r="E59" s="246"/>
      <c r="F59" s="246"/>
      <c r="G59" s="246"/>
      <c r="H59" s="247"/>
      <c r="I59" s="205"/>
      <c r="J59" s="163"/>
      <c r="K59" s="2"/>
      <c r="L59" s="35"/>
    </row>
    <row r="60" spans="2:12" ht="41.25" customHeight="1" x14ac:dyDescent="0.35">
      <c r="B60" s="2"/>
      <c r="C60" s="92"/>
      <c r="D60" s="268" t="str">
        <f>D4</f>
        <v>UNDP</v>
      </c>
      <c r="E60" s="268" t="str">
        <f>E4</f>
        <v>UNODC</v>
      </c>
      <c r="F60" s="268" t="str">
        <f>F4</f>
        <v>IOM</v>
      </c>
      <c r="G60" s="254" t="s">
        <v>48</v>
      </c>
      <c r="H60" s="256" t="s">
        <v>27</v>
      </c>
      <c r="I60" s="205"/>
      <c r="J60" s="163"/>
      <c r="K60" s="2"/>
      <c r="L60" s="35"/>
    </row>
    <row r="61" spans="2:12" ht="27.75" customHeight="1" x14ac:dyDescent="0.35">
      <c r="B61" s="2"/>
      <c r="C61" s="92"/>
      <c r="D61" s="269"/>
      <c r="E61" s="269"/>
      <c r="F61" s="269"/>
      <c r="G61" s="255"/>
      <c r="H61" s="257"/>
      <c r="I61" s="206"/>
      <c r="J61" s="160"/>
      <c r="K61" s="2"/>
      <c r="L61" s="35"/>
    </row>
    <row r="62" spans="2:12" ht="55.5" customHeight="1" x14ac:dyDescent="0.35">
      <c r="B62" s="2"/>
      <c r="C62" s="25" t="s">
        <v>26</v>
      </c>
      <c r="D62" s="94">
        <f>$D$56*H62</f>
        <v>674100</v>
      </c>
      <c r="E62" s="95">
        <f>$E$56*H62</f>
        <v>561750</v>
      </c>
      <c r="F62" s="95">
        <f>$F$56*H62</f>
        <v>164780</v>
      </c>
      <c r="G62" s="95">
        <f>SUM(D62:F62)</f>
        <v>1400630</v>
      </c>
      <c r="H62" s="132">
        <v>0.7</v>
      </c>
      <c r="I62" s="206"/>
      <c r="J62" s="160"/>
      <c r="K62" s="2"/>
      <c r="L62" s="35"/>
    </row>
    <row r="63" spans="2:12" ht="57.75" customHeight="1" x14ac:dyDescent="0.35">
      <c r="B63" s="244"/>
      <c r="C63" s="115" t="s">
        <v>28</v>
      </c>
      <c r="D63" s="94">
        <f>$D$56*H63</f>
        <v>288900</v>
      </c>
      <c r="E63" s="95">
        <f>$E$56*H63</f>
        <v>240750</v>
      </c>
      <c r="F63" s="95">
        <f>$F$56*H63</f>
        <v>70620</v>
      </c>
      <c r="G63" s="116">
        <f>SUM(D63:F63)</f>
        <v>600270</v>
      </c>
      <c r="H63" s="133">
        <v>0.3</v>
      </c>
      <c r="I63" s="207"/>
      <c r="J63" s="162"/>
      <c r="K63" s="35"/>
      <c r="L63" s="35"/>
    </row>
    <row r="64" spans="2:12" ht="57.75" customHeight="1" x14ac:dyDescent="0.35">
      <c r="B64" s="244"/>
      <c r="C64" s="115" t="s">
        <v>420</v>
      </c>
      <c r="D64" s="94">
        <f>$D$56*H64</f>
        <v>0</v>
      </c>
      <c r="E64" s="95">
        <f>$E$56*H64</f>
        <v>0</v>
      </c>
      <c r="F64" s="95">
        <f>$F$56*H64</f>
        <v>0</v>
      </c>
      <c r="G64" s="116">
        <f>SUM(D64:F64)</f>
        <v>0</v>
      </c>
      <c r="H64" s="134">
        <v>0</v>
      </c>
      <c r="I64" s="208"/>
      <c r="J64" s="164"/>
      <c r="K64" s="35"/>
      <c r="L64" s="35"/>
    </row>
    <row r="65" spans="1:14" ht="38.25" customHeight="1" thickBot="1" x14ac:dyDescent="0.4">
      <c r="B65" s="244"/>
      <c r="C65" s="26" t="s">
        <v>415</v>
      </c>
      <c r="D65" s="96">
        <f>SUM(D62:D64)</f>
        <v>963000</v>
      </c>
      <c r="E65" s="96">
        <f>SUM(E62:E64)</f>
        <v>802500</v>
      </c>
      <c r="F65" s="96">
        <f>SUM(F62:F64)</f>
        <v>235400</v>
      </c>
      <c r="G65" s="96">
        <f>SUM(G62:G64)</f>
        <v>2000900</v>
      </c>
      <c r="H65" s="97">
        <f>SUM(H62:H64)</f>
        <v>1</v>
      </c>
      <c r="I65" s="204"/>
      <c r="J65" s="161"/>
      <c r="K65" s="35"/>
      <c r="L65" s="35"/>
    </row>
    <row r="66" spans="1:14" ht="38.25" customHeight="1" thickBot="1" x14ac:dyDescent="0.4">
      <c r="B66" s="244"/>
      <c r="C66" s="3"/>
      <c r="D66" s="8"/>
      <c r="E66" s="8"/>
      <c r="F66" s="8"/>
      <c r="G66" s="8"/>
      <c r="H66" s="8"/>
      <c r="I66" s="204"/>
      <c r="J66" s="161"/>
      <c r="K66" s="223"/>
      <c r="L66" s="35"/>
    </row>
    <row r="67" spans="1:14" ht="49.5" customHeight="1" x14ac:dyDescent="0.35">
      <c r="B67" s="244"/>
      <c r="C67" s="98" t="s">
        <v>428</v>
      </c>
      <c r="D67" s="99">
        <f>SUM(H18,H28,H36,H43)*1.07</f>
        <v>343068.09730000002</v>
      </c>
      <c r="E67" s="29"/>
      <c r="F67" s="29"/>
      <c r="G67" s="29"/>
      <c r="H67" s="166" t="s">
        <v>472</v>
      </c>
      <c r="I67" s="209">
        <f>SUM(I43,I36,I28,I18)+I55</f>
        <v>1118977.9875701643</v>
      </c>
      <c r="J67" s="181"/>
      <c r="K67" s="226"/>
      <c r="L67" s="35"/>
    </row>
    <row r="68" spans="1:14" ht="28.5" customHeight="1" thickBot="1" x14ac:dyDescent="0.4">
      <c r="B68" s="244"/>
      <c r="C68" s="100" t="s">
        <v>13</v>
      </c>
      <c r="D68" s="158">
        <f>D67/G56</f>
        <v>0.17145689304812836</v>
      </c>
      <c r="E68" s="37"/>
      <c r="F68" s="37"/>
      <c r="G68" s="37"/>
      <c r="H68" s="167" t="s">
        <v>430</v>
      </c>
      <c r="I68" s="210">
        <f>I67/G54</f>
        <v>0.59838395057228033</v>
      </c>
      <c r="J68" s="182"/>
      <c r="K68" s="226"/>
      <c r="L68" s="35"/>
      <c r="N68" s="224"/>
    </row>
    <row r="69" spans="1:14" ht="28.5" customHeight="1" x14ac:dyDescent="0.35">
      <c r="B69" s="244"/>
      <c r="C69" s="258"/>
      <c r="D69" s="259"/>
      <c r="E69" s="38"/>
      <c r="F69" s="38"/>
      <c r="G69" s="38"/>
      <c r="K69" s="226"/>
      <c r="L69" s="35"/>
      <c r="N69" s="225"/>
    </row>
    <row r="70" spans="1:14" ht="32.25" customHeight="1" x14ac:dyDescent="0.35">
      <c r="B70" s="244"/>
      <c r="C70" s="100" t="s">
        <v>429</v>
      </c>
      <c r="D70" s="101">
        <f>SUM(D41:F42)*1.07</f>
        <v>144450</v>
      </c>
      <c r="E70" s="39"/>
      <c r="F70" s="39"/>
      <c r="G70" s="39"/>
      <c r="K70" s="35"/>
      <c r="L70" s="35"/>
      <c r="N70" s="224"/>
    </row>
    <row r="71" spans="1:14" ht="23.25" customHeight="1" x14ac:dyDescent="0.35">
      <c r="B71" s="244"/>
      <c r="C71" s="100" t="s">
        <v>14</v>
      </c>
      <c r="D71" s="158">
        <f>D70/G56</f>
        <v>7.2192513368983954E-2</v>
      </c>
      <c r="E71" s="39"/>
      <c r="F71" s="39"/>
      <c r="G71" s="39"/>
      <c r="K71" s="35"/>
      <c r="L71" s="35"/>
    </row>
    <row r="72" spans="1:14" ht="66.75" customHeight="1" thickBot="1" x14ac:dyDescent="0.4">
      <c r="B72" s="244"/>
      <c r="C72" s="248" t="s">
        <v>425</v>
      </c>
      <c r="D72" s="249"/>
      <c r="E72" s="30"/>
      <c r="F72" s="30"/>
      <c r="G72" s="30"/>
      <c r="H72" s="35"/>
      <c r="K72" s="35"/>
      <c r="L72" s="35"/>
    </row>
    <row r="73" spans="1:14" ht="55.5" customHeight="1" x14ac:dyDescent="0.35">
      <c r="B73" s="244"/>
      <c r="L73" s="34"/>
    </row>
    <row r="74" spans="1:14" ht="42.75" customHeight="1" x14ac:dyDescent="0.35">
      <c r="B74" s="244"/>
      <c r="K74" s="35"/>
    </row>
    <row r="75" spans="1:14" ht="21.75" customHeight="1" x14ac:dyDescent="0.35">
      <c r="B75" s="244"/>
      <c r="K75" s="35"/>
    </row>
    <row r="76" spans="1:14" ht="21.75" customHeight="1" x14ac:dyDescent="0.35">
      <c r="A76" s="35"/>
      <c r="B76" s="244"/>
    </row>
    <row r="77" spans="1:14" s="35" customFormat="1" ht="23.25" customHeight="1" x14ac:dyDescent="0.35">
      <c r="A77" s="33"/>
      <c r="B77" s="244"/>
      <c r="C77" s="33"/>
      <c r="D77" s="33"/>
      <c r="E77" s="33"/>
      <c r="F77" s="33"/>
      <c r="G77" s="33"/>
      <c r="H77" s="33"/>
      <c r="I77" s="203"/>
      <c r="J77" s="177"/>
      <c r="K77" s="33"/>
      <c r="L77" s="33"/>
    </row>
    <row r="78" spans="1:14" ht="23.25" customHeight="1" x14ac:dyDescent="0.35"/>
    <row r="79" spans="1:14" ht="21.75" customHeight="1" x14ac:dyDescent="0.35"/>
    <row r="80" spans="1:14" ht="16.5" customHeight="1" x14ac:dyDescent="0.35"/>
    <row r="81" ht="29.25" customHeight="1" x14ac:dyDescent="0.35"/>
    <row r="82" ht="24.75" customHeight="1" x14ac:dyDescent="0.35"/>
    <row r="83" ht="33" customHeight="1" x14ac:dyDescent="0.35"/>
    <row r="85" ht="15" customHeight="1" x14ac:dyDescent="0.35"/>
    <row r="86" ht="25.5" customHeight="1" x14ac:dyDescent="0.35"/>
  </sheetData>
  <sheetProtection formatCells="0" formatColumns="0" formatRows="0"/>
  <mergeCells count="21">
    <mergeCell ref="B1:E1"/>
    <mergeCell ref="C19:K19"/>
    <mergeCell ref="C6:K6"/>
    <mergeCell ref="C29:K29"/>
    <mergeCell ref="F60:F61"/>
    <mergeCell ref="B2:E2"/>
    <mergeCell ref="C5:K5"/>
    <mergeCell ref="C51:G51"/>
    <mergeCell ref="D52:D53"/>
    <mergeCell ref="E52:E53"/>
    <mergeCell ref="F52:F53"/>
    <mergeCell ref="D60:D61"/>
    <mergeCell ref="E60:E61"/>
    <mergeCell ref="B63:B77"/>
    <mergeCell ref="C59:H59"/>
    <mergeCell ref="C72:D72"/>
    <mergeCell ref="C52:C53"/>
    <mergeCell ref="G52:G53"/>
    <mergeCell ref="G60:G61"/>
    <mergeCell ref="H60:H61"/>
    <mergeCell ref="C69:D69"/>
  </mergeCells>
  <conditionalFormatting sqref="D68">
    <cfRule type="cellIs" dxfId="13" priority="46" operator="lessThan">
      <formula>0.15</formula>
    </cfRule>
  </conditionalFormatting>
  <conditionalFormatting sqref="D71">
    <cfRule type="cellIs" dxfId="12" priority="44" operator="lessThan">
      <formula>0.05</formula>
    </cfRule>
  </conditionalFormatting>
  <conditionalFormatting sqref="H65 I64:J64">
    <cfRule type="cellIs" dxfId="11" priority="1" operator="greaterThan">
      <formula>1</formula>
    </cfRule>
  </conditionalFormatting>
  <dataValidations xWindow="431" yWindow="475" count="6">
    <dataValidation allowBlank="1" showInputMessage="1" showErrorMessage="1" prompt="% Towards Gender Equality and Women's Empowerment Must be Higher than 15%_x000a_" sqref="D68:G68" xr:uid="{E72508C7-C8DD-46A5-878C-E4FA07CAB6AF}"/>
    <dataValidation allowBlank="1" showInputMessage="1" showErrorMessage="1" prompt="M&amp;E Budget Cannot be Less than 5%_x000a_" sqref="D71:G71" xr:uid="{53928C0A-D548-4B6B-97FC-07D38B0E5FA7}"/>
    <dataValidation allowBlank="1" showInputMessage="1" showErrorMessage="1" prompt="Insert *text* description of Outcome here" sqref="C5:K5" xr:uid="{89ACADD6-F982-42D9-AC8D-CCF9750605B2}"/>
    <dataValidation allowBlank="1" showInputMessage="1" showErrorMessage="1" prompt="Insert *text* description of Output here" sqref="C6 C19 C29:C34" xr:uid="{31AC9CA6-D499-4711-A99F-BECD0A64F3A8}"/>
    <dataValidation allowBlank="1" showInputMessage="1" showErrorMessage="1" prompt="Insert *text* description of Activity here" sqref="C7:C11 C20 C35" xr:uid="{E7A390F5-03DD-4A67-B842-17326B4F2DA4}"/>
    <dataValidation allowBlank="1" showErrorMessage="1" prompt="% Towards Gender Equality and Women's Empowerment Must be Higher than 15%_x000a_" sqref="D70:G70" xr:uid="{8C6643DA-1D03-44FB-AC1F-C4CB706ED3AA}"/>
  </dataValidations>
  <pageMargins left="0.7" right="0.7" top="0.75" bottom="0.75" header="0.3" footer="0.3"/>
  <pageSetup scale="74" orientation="landscape" r:id="rId1"/>
  <ignoredErrors>
    <ignoredError sqref="D52:F53 D60:F6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99"/>
  <sheetViews>
    <sheetView showGridLines="0" showZeros="0" tabSelected="1" zoomScale="80" zoomScaleNormal="80" workbookViewId="0">
      <pane ySplit="4" topLeftCell="A20" activePane="bottomLeft" state="frozen"/>
      <selection pane="bottomLeft" activeCell="D15" sqref="D15:F15"/>
    </sheetView>
  </sheetViews>
  <sheetFormatPr defaultColWidth="9.1796875" defaultRowHeight="15.5" x14ac:dyDescent="0.35"/>
  <cols>
    <col min="1" max="1" width="4.453125" style="48" customWidth="1"/>
    <col min="2" max="2" width="3.26953125" style="48" customWidth="1"/>
    <col min="3" max="3" width="51.453125" style="48" customWidth="1"/>
    <col min="4" max="4" width="34.26953125" style="49" customWidth="1"/>
    <col min="5" max="5" width="35" style="49" customWidth="1"/>
    <col min="6" max="6" width="36.54296875" style="49" customWidth="1"/>
    <col min="7" max="7" width="25.7265625" style="48" customWidth="1"/>
    <col min="8" max="8" width="21.453125" style="48" customWidth="1"/>
    <col min="9" max="9" width="16.81640625" style="48" customWidth="1"/>
    <col min="10" max="10" width="19.453125" style="48" customWidth="1"/>
    <col min="11" max="11" width="19" style="48" customWidth="1"/>
    <col min="12" max="12" width="26" style="48" customWidth="1"/>
    <col min="13" max="13" width="21.1796875" style="48" customWidth="1"/>
    <col min="14" max="14" width="7" style="51" customWidth="1"/>
    <col min="15" max="15" width="24.26953125" style="48" customWidth="1"/>
    <col min="16" max="16" width="26.453125" style="48" customWidth="1"/>
    <col min="17" max="17" width="30.1796875" style="48" customWidth="1"/>
    <col min="18" max="18" width="33" style="48" customWidth="1"/>
    <col min="19" max="20" width="22.7265625" style="48" customWidth="1"/>
    <col min="21" max="21" width="23.453125" style="48" customWidth="1"/>
    <col min="22" max="22" width="32.1796875" style="48" customWidth="1"/>
    <col min="23" max="23" width="9.1796875" style="48"/>
    <col min="24" max="24" width="17.7265625" style="48" customWidth="1"/>
    <col min="25" max="25" width="26.453125" style="48" customWidth="1"/>
    <col min="26" max="26" width="22.453125" style="48" customWidth="1"/>
    <col min="27" max="27" width="29.7265625" style="48" customWidth="1"/>
    <col min="28" max="28" width="23.453125" style="48" customWidth="1"/>
    <col min="29" max="29" width="18.453125" style="48" customWidth="1"/>
    <col min="30" max="30" width="17.453125" style="48" customWidth="1"/>
    <col min="31" max="31" width="25.1796875" style="48" customWidth="1"/>
    <col min="32" max="16384" width="9.1796875" style="48"/>
  </cols>
  <sheetData>
    <row r="1" spans="2:14" ht="31.5" customHeight="1" x14ac:dyDescent="1">
      <c r="C1" s="243" t="s">
        <v>409</v>
      </c>
      <c r="D1" s="243"/>
      <c r="E1" s="243"/>
      <c r="F1" s="243"/>
      <c r="G1" s="31"/>
      <c r="H1" s="32"/>
      <c r="I1" s="32"/>
      <c r="L1" s="19"/>
      <c r="M1" s="6"/>
      <c r="N1" s="48"/>
    </row>
    <row r="2" spans="2:14" ht="24" customHeight="1" x14ac:dyDescent="0.45">
      <c r="C2" s="270" t="s">
        <v>52</v>
      </c>
      <c r="D2" s="270"/>
      <c r="E2" s="270"/>
      <c r="F2" s="188"/>
      <c r="L2" s="19"/>
      <c r="M2" s="6"/>
      <c r="N2" s="48"/>
    </row>
    <row r="3" spans="2:14" ht="24" customHeight="1" x14ac:dyDescent="0.35">
      <c r="C3" s="42"/>
      <c r="D3" s="42"/>
      <c r="E3" s="42"/>
      <c r="F3" s="42"/>
      <c r="L3" s="19"/>
      <c r="M3" s="6"/>
      <c r="N3" s="48"/>
    </row>
    <row r="4" spans="2:14" ht="24" customHeight="1" x14ac:dyDescent="0.35">
      <c r="C4" s="42"/>
      <c r="D4" s="185" t="str">
        <f>'1) Budget Table'!D4</f>
        <v>UNDP</v>
      </c>
      <c r="E4" s="185" t="str">
        <f>'1) Budget Table'!E4</f>
        <v>UNODC</v>
      </c>
      <c r="F4" s="185" t="str">
        <f>'1) Budget Table'!F4</f>
        <v>IOM</v>
      </c>
      <c r="G4" s="175" t="s">
        <v>48</v>
      </c>
      <c r="L4" s="19"/>
      <c r="M4" s="6"/>
      <c r="N4" s="48"/>
    </row>
    <row r="5" spans="2:14" ht="24" customHeight="1" x14ac:dyDescent="0.35">
      <c r="B5" s="279" t="s">
        <v>58</v>
      </c>
      <c r="C5" s="280"/>
      <c r="D5" s="280"/>
      <c r="E5" s="280"/>
      <c r="F5" s="280"/>
      <c r="G5" s="281"/>
      <c r="L5" s="19"/>
      <c r="M5" s="6"/>
      <c r="N5" s="48"/>
    </row>
    <row r="6" spans="2:14" ht="22.5" customHeight="1" x14ac:dyDescent="0.35">
      <c r="C6" s="279" t="s">
        <v>55</v>
      </c>
      <c r="D6" s="280"/>
      <c r="E6" s="280"/>
      <c r="F6" s="280"/>
      <c r="G6" s="281"/>
      <c r="L6" s="19"/>
      <c r="M6" s="6"/>
      <c r="N6" s="48"/>
    </row>
    <row r="7" spans="2:14" ht="24.75" customHeight="1" thickBot="1" x14ac:dyDescent="0.4">
      <c r="C7" s="58" t="s">
        <v>54</v>
      </c>
      <c r="D7" s="59">
        <f>'1) Budget Table'!D18</f>
        <v>50000</v>
      </c>
      <c r="E7" s="59">
        <f>'1) Budget Table'!E18</f>
        <v>175000</v>
      </c>
      <c r="F7" s="59">
        <f>'1) Budget Table'!F18</f>
        <v>65000</v>
      </c>
      <c r="G7" s="60">
        <f>SUM(D7:F7)</f>
        <v>290000</v>
      </c>
      <c r="L7" s="19"/>
      <c r="M7" s="6"/>
      <c r="N7" s="48"/>
    </row>
    <row r="8" spans="2:14" ht="21.75" customHeight="1" x14ac:dyDescent="0.35">
      <c r="C8" s="56" t="s">
        <v>8</v>
      </c>
      <c r="D8" s="233">
        <f>35168.94+13161.83</f>
        <v>48330.770000000004</v>
      </c>
      <c r="E8" s="220">
        <v>34749.5</v>
      </c>
      <c r="F8" s="220">
        <v>5330</v>
      </c>
      <c r="G8" s="57">
        <f t="shared" ref="G8:G15" si="0">SUM(D8:F8)</f>
        <v>88410.27</v>
      </c>
      <c r="N8" s="48"/>
    </row>
    <row r="9" spans="2:14" x14ac:dyDescent="0.35">
      <c r="C9" s="46" t="s">
        <v>9</v>
      </c>
      <c r="D9" s="222">
        <f>26687.42+3435.03+2855.79</f>
        <v>32978.239999999998</v>
      </c>
      <c r="E9" s="215">
        <v>23960</v>
      </c>
      <c r="F9" s="215">
        <f>9966.55052937049+463-1999.91</f>
        <v>8429.6405293704902</v>
      </c>
      <c r="G9" s="55">
        <f t="shared" si="0"/>
        <v>65367.880529370486</v>
      </c>
      <c r="H9" s="227"/>
      <c r="N9" s="48"/>
    </row>
    <row r="10" spans="2:14" ht="15.75" customHeight="1" x14ac:dyDescent="0.35">
      <c r="C10" s="46" t="s">
        <v>10</v>
      </c>
      <c r="D10" s="219">
        <v>447.13</v>
      </c>
      <c r="E10" s="221"/>
      <c r="F10" s="221">
        <v>4373</v>
      </c>
      <c r="G10" s="55">
        <f t="shared" si="0"/>
        <v>4820.13</v>
      </c>
      <c r="H10" s="227"/>
      <c r="N10" s="48"/>
    </row>
    <row r="11" spans="2:14" x14ac:dyDescent="0.35">
      <c r="C11" s="47" t="s">
        <v>11</v>
      </c>
      <c r="D11" s="221"/>
      <c r="E11" s="221"/>
      <c r="F11" s="221"/>
      <c r="G11" s="55">
        <f t="shared" si="0"/>
        <v>0</v>
      </c>
      <c r="N11" s="48"/>
    </row>
    <row r="12" spans="2:14" x14ac:dyDescent="0.35">
      <c r="C12" s="46" t="s">
        <v>15</v>
      </c>
      <c r="D12" s="221"/>
      <c r="E12" s="221"/>
      <c r="F12" s="221"/>
      <c r="G12" s="55">
        <f t="shared" si="0"/>
        <v>0</v>
      </c>
      <c r="N12" s="48"/>
    </row>
    <row r="13" spans="2:14" ht="21.75" customHeight="1" x14ac:dyDescent="0.35">
      <c r="C13" s="46" t="s">
        <v>12</v>
      </c>
      <c r="D13" s="221"/>
      <c r="E13" s="221"/>
      <c r="F13" s="221"/>
      <c r="G13" s="55">
        <f t="shared" si="0"/>
        <v>0</v>
      </c>
      <c r="H13" s="227"/>
      <c r="N13" s="48"/>
    </row>
    <row r="14" spans="2:14" ht="21.75" customHeight="1" x14ac:dyDescent="0.35">
      <c r="C14" s="46" t="s">
        <v>53</v>
      </c>
      <c r="D14" s="222">
        <f>18820.7994706295+2716.54+7132.56+37532.92</f>
        <v>66202.819470629503</v>
      </c>
      <c r="E14" s="221">
        <v>27693</v>
      </c>
      <c r="F14" s="221">
        <f>16275.19-13161.83+9860</f>
        <v>12973.36</v>
      </c>
      <c r="G14" s="55">
        <f t="shared" si="0"/>
        <v>106869.1794706295</v>
      </c>
      <c r="H14" s="229"/>
      <c r="N14" s="48"/>
    </row>
    <row r="15" spans="2:14" ht="15.75" customHeight="1" x14ac:dyDescent="0.35">
      <c r="C15" s="50" t="s">
        <v>56</v>
      </c>
      <c r="D15" s="61">
        <f>SUM(D8:D14)</f>
        <v>147958.95947062952</v>
      </c>
      <c r="E15" s="61">
        <f>SUM(E8:E14)</f>
        <v>86402.5</v>
      </c>
      <c r="F15" s="61">
        <f>SUM(F8:F14)</f>
        <v>31106.000529370489</v>
      </c>
      <c r="G15" s="122">
        <f t="shared" si="0"/>
        <v>265467.46000000002</v>
      </c>
      <c r="H15" s="227"/>
      <c r="I15" s="227">
        <f>+G15-H15</f>
        <v>265467.46000000002</v>
      </c>
      <c r="N15" s="48"/>
    </row>
    <row r="16" spans="2:14" s="49" customFormat="1" x14ac:dyDescent="0.35">
      <c r="C16" s="62"/>
      <c r="D16" s="63"/>
      <c r="E16" s="63"/>
      <c r="F16" s="63"/>
      <c r="G16" s="123"/>
      <c r="H16" s="237"/>
    </row>
    <row r="17" spans="3:14" x14ac:dyDescent="0.35">
      <c r="C17" s="279" t="s">
        <v>59</v>
      </c>
      <c r="D17" s="280"/>
      <c r="E17" s="280"/>
      <c r="F17" s="280"/>
      <c r="G17" s="281"/>
      <c r="N17" s="48"/>
    </row>
    <row r="18" spans="3:14" ht="27" customHeight="1" thickBot="1" x14ac:dyDescent="0.4">
      <c r="C18" s="58" t="s">
        <v>54</v>
      </c>
      <c r="D18" s="59">
        <f>'1) Budget Table'!D28</f>
        <v>440000</v>
      </c>
      <c r="E18" s="59">
        <f>'1) Budget Table'!E28</f>
        <v>313000</v>
      </c>
      <c r="F18" s="59">
        <f>'1) Budget Table'!F28</f>
        <v>40000</v>
      </c>
      <c r="G18" s="60">
        <f t="shared" ref="G18:G26" si="1">SUM(D18:F18)</f>
        <v>793000</v>
      </c>
      <c r="N18" s="48"/>
    </row>
    <row r="19" spans="3:14" x14ac:dyDescent="0.35">
      <c r="C19" s="56" t="s">
        <v>8</v>
      </c>
      <c r="D19" s="219">
        <v>0</v>
      </c>
      <c r="E19" s="220"/>
      <c r="F19" s="220"/>
      <c r="G19" s="57">
        <f t="shared" si="1"/>
        <v>0</v>
      </c>
      <c r="N19" s="48"/>
    </row>
    <row r="20" spans="3:14" x14ac:dyDescent="0.35">
      <c r="C20" s="46" t="s">
        <v>9</v>
      </c>
      <c r="D20" s="221">
        <f>11501.4+21222.22+4565.62+17000+8000</f>
        <v>62289.240000000005</v>
      </c>
      <c r="E20" s="215">
        <v>16367.78</v>
      </c>
      <c r="F20" s="215">
        <f>17985-6048.44</f>
        <v>11936.560000000001</v>
      </c>
      <c r="G20" s="55">
        <f t="shared" si="1"/>
        <v>90593.58</v>
      </c>
      <c r="N20" s="48"/>
    </row>
    <row r="21" spans="3:14" ht="31" x14ac:dyDescent="0.35">
      <c r="C21" s="46" t="s">
        <v>10</v>
      </c>
      <c r="D21" s="222">
        <v>3455</v>
      </c>
      <c r="E21" s="221">
        <f>9707+52000</f>
        <v>61707</v>
      </c>
      <c r="F21" s="221"/>
      <c r="G21" s="55">
        <f t="shared" si="1"/>
        <v>65162</v>
      </c>
      <c r="N21" s="48"/>
    </row>
    <row r="22" spans="3:14" x14ac:dyDescent="0.35">
      <c r="C22" s="47" t="s">
        <v>11</v>
      </c>
      <c r="D22" s="221"/>
      <c r="E22" s="221"/>
      <c r="F22" s="221"/>
      <c r="G22" s="55">
        <f t="shared" si="1"/>
        <v>0</v>
      </c>
      <c r="N22" s="48"/>
    </row>
    <row r="23" spans="3:14" x14ac:dyDescent="0.35">
      <c r="C23" s="46" t="s">
        <v>15</v>
      </c>
      <c r="D23" s="221"/>
      <c r="E23" s="221">
        <v>3313</v>
      </c>
      <c r="F23" s="221"/>
      <c r="G23" s="55">
        <f t="shared" si="1"/>
        <v>3313</v>
      </c>
      <c r="N23" s="48"/>
    </row>
    <row r="24" spans="3:14" x14ac:dyDescent="0.35">
      <c r="C24" s="46" t="s">
        <v>12</v>
      </c>
      <c r="D24" s="221"/>
      <c r="E24" s="221"/>
      <c r="F24" s="221"/>
      <c r="G24" s="55">
        <f t="shared" si="1"/>
        <v>0</v>
      </c>
      <c r="H24" s="227"/>
      <c r="N24" s="48"/>
    </row>
    <row r="25" spans="3:14" x14ac:dyDescent="0.35">
      <c r="C25" s="46" t="s">
        <v>53</v>
      </c>
      <c r="D25" s="221">
        <f>49129.9505293705+269.03+15000+7479.24</f>
        <v>71878.220529370505</v>
      </c>
      <c r="E25" s="221">
        <f>7993.5+380.78+6048.44</f>
        <v>14422.720000000001</v>
      </c>
      <c r="F25" s="221">
        <f>24973.7-15000+36780</f>
        <v>46753.7</v>
      </c>
      <c r="G25" s="55">
        <f t="shared" si="1"/>
        <v>133054.64052937052</v>
      </c>
      <c r="N25" s="48"/>
    </row>
    <row r="26" spans="3:14" x14ac:dyDescent="0.35">
      <c r="C26" s="50" t="s">
        <v>56</v>
      </c>
      <c r="D26" s="61">
        <f>SUM(D19:D25)</f>
        <v>137622.46052937052</v>
      </c>
      <c r="E26" s="61">
        <f>SUM(E19:E25)</f>
        <v>95810.5</v>
      </c>
      <c r="F26" s="61">
        <f>SUM(F19:F25)</f>
        <v>58690.259999999995</v>
      </c>
      <c r="G26" s="55">
        <f t="shared" si="1"/>
        <v>292123.22052937053</v>
      </c>
      <c r="H26" s="227"/>
      <c r="I26" s="227">
        <f>+G26-H26</f>
        <v>292123.22052937053</v>
      </c>
      <c r="N26" s="48"/>
    </row>
    <row r="27" spans="3:14" s="49" customFormat="1" x14ac:dyDescent="0.35">
      <c r="C27" s="62"/>
      <c r="D27" s="63"/>
      <c r="E27" s="63"/>
      <c r="F27" s="63"/>
      <c r="G27" s="64"/>
    </row>
    <row r="28" spans="3:14" x14ac:dyDescent="0.35">
      <c r="C28" s="279" t="s">
        <v>60</v>
      </c>
      <c r="D28" s="280"/>
      <c r="E28" s="280"/>
      <c r="F28" s="280"/>
      <c r="G28" s="281"/>
      <c r="N28" s="48"/>
    </row>
    <row r="29" spans="3:14" ht="21.75" customHeight="1" thickBot="1" x14ac:dyDescent="0.4">
      <c r="C29" s="58" t="s">
        <v>54</v>
      </c>
      <c r="D29" s="59">
        <f>'1) Budget Table'!D36</f>
        <v>85000</v>
      </c>
      <c r="E29" s="59">
        <f>'1) Budget Table'!E36</f>
        <v>65000</v>
      </c>
      <c r="F29" s="59">
        <f>'1) Budget Table'!F36</f>
        <v>55000</v>
      </c>
      <c r="G29" s="60">
        <f t="shared" ref="G29:G37" si="2">SUM(D29:F29)</f>
        <v>205000</v>
      </c>
      <c r="N29" s="48"/>
    </row>
    <row r="30" spans="3:14" x14ac:dyDescent="0.35">
      <c r="C30" s="56" t="s">
        <v>8</v>
      </c>
      <c r="D30" s="219"/>
      <c r="E30" s="220"/>
      <c r="F30" s="220"/>
      <c r="G30" s="57">
        <f t="shared" si="2"/>
        <v>0</v>
      </c>
      <c r="N30" s="48"/>
    </row>
    <row r="31" spans="3:14" s="49" customFormat="1" ht="15.75" customHeight="1" x14ac:dyDescent="0.35">
      <c r="C31" s="46" t="s">
        <v>9</v>
      </c>
      <c r="D31" s="221">
        <v>6180.81</v>
      </c>
      <c r="E31" s="215">
        <v>7341</v>
      </c>
      <c r="F31" s="215">
        <f>5265.67+38+14793</f>
        <v>20096.669999999998</v>
      </c>
      <c r="G31" s="55">
        <f t="shared" si="2"/>
        <v>33618.479999999996</v>
      </c>
    </row>
    <row r="32" spans="3:14" s="49" customFormat="1" ht="31" x14ac:dyDescent="0.35">
      <c r="C32" s="46" t="s">
        <v>10</v>
      </c>
      <c r="D32" s="221"/>
      <c r="E32" s="221">
        <v>2374</v>
      </c>
      <c r="F32" s="221">
        <v>4962</v>
      </c>
      <c r="G32" s="55">
        <f t="shared" si="2"/>
        <v>7336</v>
      </c>
    </row>
    <row r="33" spans="3:14" s="49" customFormat="1" x14ac:dyDescent="0.35">
      <c r="C33" s="47" t="s">
        <v>11</v>
      </c>
      <c r="D33" s="221">
        <v>32479.24</v>
      </c>
      <c r="E33" s="221">
        <v>1430</v>
      </c>
      <c r="F33" s="221"/>
      <c r="G33" s="55">
        <f t="shared" si="2"/>
        <v>33909.240000000005</v>
      </c>
    </row>
    <row r="34" spans="3:14" x14ac:dyDescent="0.35">
      <c r="C34" s="46" t="s">
        <v>15</v>
      </c>
      <c r="D34" s="221">
        <v>0</v>
      </c>
      <c r="E34" s="221">
        <v>453</v>
      </c>
      <c r="F34" s="221"/>
      <c r="G34" s="55">
        <f t="shared" si="2"/>
        <v>453</v>
      </c>
      <c r="N34" s="48"/>
    </row>
    <row r="35" spans="3:14" x14ac:dyDescent="0.35">
      <c r="C35" s="46" t="s">
        <v>12</v>
      </c>
      <c r="D35" s="221"/>
      <c r="E35" s="221">
        <v>10000</v>
      </c>
      <c r="F35" s="221"/>
      <c r="G35" s="55">
        <f t="shared" si="2"/>
        <v>10000</v>
      </c>
      <c r="N35" s="48"/>
    </row>
    <row r="36" spans="3:14" x14ac:dyDescent="0.35">
      <c r="C36" s="46" t="s">
        <v>53</v>
      </c>
      <c r="D36" s="221"/>
      <c r="E36" s="221">
        <v>13478</v>
      </c>
      <c r="F36" s="221">
        <f>29392.95+0.25-0.02</f>
        <v>29393.18</v>
      </c>
      <c r="G36" s="55">
        <f t="shared" si="2"/>
        <v>42871.18</v>
      </c>
      <c r="N36" s="48"/>
    </row>
    <row r="37" spans="3:14" x14ac:dyDescent="0.35">
      <c r="C37" s="50" t="s">
        <v>56</v>
      </c>
      <c r="D37" s="61">
        <f>SUM(D30:D36)</f>
        <v>38660.050000000003</v>
      </c>
      <c r="E37" s="61">
        <f>SUM(E30:E36)</f>
        <v>35076</v>
      </c>
      <c r="F37" s="61">
        <f>SUM(F30:F36)</f>
        <v>54451.85</v>
      </c>
      <c r="G37" s="55">
        <f t="shared" si="2"/>
        <v>128187.9</v>
      </c>
      <c r="H37" s="227"/>
      <c r="I37" s="227">
        <f>+G37-H37</f>
        <v>128187.9</v>
      </c>
      <c r="N37" s="48"/>
    </row>
    <row r="38" spans="3:14" s="51" customFormat="1" ht="15.75" customHeight="1" x14ac:dyDescent="0.35">
      <c r="C38" s="48"/>
      <c r="D38" s="49"/>
      <c r="E38" s="49"/>
      <c r="F38" s="49"/>
      <c r="G38" s="48"/>
    </row>
    <row r="39" spans="3:14" s="51" customFormat="1" ht="15.75" customHeight="1" x14ac:dyDescent="0.35">
      <c r="C39" s="279" t="s">
        <v>413</v>
      </c>
      <c r="D39" s="280"/>
      <c r="E39" s="280"/>
      <c r="F39" s="280"/>
      <c r="G39" s="281"/>
    </row>
    <row r="40" spans="3:14" s="51" customFormat="1" ht="19.5" customHeight="1" thickBot="1" x14ac:dyDescent="0.4">
      <c r="C40" s="58" t="s">
        <v>414</v>
      </c>
      <c r="D40" s="59">
        <f>'1) Budget Table'!D43</f>
        <v>325000</v>
      </c>
      <c r="E40" s="59">
        <f>'1) Budget Table'!E43</f>
        <v>197000</v>
      </c>
      <c r="F40" s="59">
        <f>'1) Budget Table'!F43</f>
        <v>60000</v>
      </c>
      <c r="G40" s="60">
        <f t="shared" ref="G40:G48" si="3">SUM(D40:F40)</f>
        <v>582000</v>
      </c>
    </row>
    <row r="41" spans="3:14" s="51" customFormat="1" ht="15.75" customHeight="1" x14ac:dyDescent="0.35">
      <c r="C41" s="56" t="s">
        <v>8</v>
      </c>
      <c r="D41" s="233">
        <f>49317.69+115.09+238.24-493.15+34.52-2.42</f>
        <v>49209.969999999994</v>
      </c>
      <c r="E41" s="220">
        <v>43103.22</v>
      </c>
      <c r="F41" s="220">
        <f>56757-30000</f>
        <v>26757</v>
      </c>
      <c r="G41" s="57">
        <f t="shared" si="3"/>
        <v>119070.19</v>
      </c>
    </row>
    <row r="42" spans="3:14" s="51" customFormat="1" ht="15.75" customHeight="1" x14ac:dyDescent="0.35">
      <c r="C42" s="46" t="s">
        <v>9</v>
      </c>
      <c r="D42" s="221"/>
      <c r="E42" s="215">
        <v>13514</v>
      </c>
      <c r="F42" s="215">
        <f>9948+3016.19</f>
        <v>12964.19</v>
      </c>
      <c r="G42" s="55">
        <f t="shared" si="3"/>
        <v>26478.190000000002</v>
      </c>
    </row>
    <row r="43" spans="3:14" s="51" customFormat="1" ht="15.75" customHeight="1" x14ac:dyDescent="0.35">
      <c r="C43" s="46" t="s">
        <v>10</v>
      </c>
      <c r="D43" s="221"/>
      <c r="E43" s="221">
        <v>0</v>
      </c>
      <c r="F43" s="221"/>
      <c r="G43" s="55">
        <f t="shared" si="3"/>
        <v>0</v>
      </c>
    </row>
    <row r="44" spans="3:14" s="51" customFormat="1" ht="15.75" customHeight="1" x14ac:dyDescent="0.35">
      <c r="C44" s="47" t="s">
        <v>11</v>
      </c>
      <c r="D44" s="221">
        <f>3014+96183</f>
        <v>99197</v>
      </c>
      <c r="E44" s="221"/>
      <c r="F44" s="221"/>
      <c r="G44" s="55">
        <f t="shared" si="3"/>
        <v>99197</v>
      </c>
    </row>
    <row r="45" spans="3:14" s="51" customFormat="1" ht="15.75" customHeight="1" x14ac:dyDescent="0.35">
      <c r="C45" s="46" t="s">
        <v>15</v>
      </c>
      <c r="D45" s="221"/>
      <c r="E45" s="221"/>
      <c r="F45" s="221"/>
      <c r="G45" s="55">
        <f t="shared" si="3"/>
        <v>0</v>
      </c>
    </row>
    <row r="46" spans="3:14" s="51" customFormat="1" ht="15.75" customHeight="1" x14ac:dyDescent="0.35">
      <c r="C46" s="46" t="s">
        <v>12</v>
      </c>
      <c r="D46" s="221"/>
      <c r="E46" s="221"/>
      <c r="F46" s="221"/>
      <c r="G46" s="55">
        <f t="shared" si="3"/>
        <v>0</v>
      </c>
    </row>
    <row r="47" spans="3:14" s="51" customFormat="1" ht="15.75" customHeight="1" x14ac:dyDescent="0.35">
      <c r="C47" s="46" t="s">
        <v>53</v>
      </c>
      <c r="D47" s="222">
        <f>36342.67+30000-861.06</f>
        <v>65481.61</v>
      </c>
      <c r="E47" s="221">
        <f>15003.7536542602+14603.33-423.4+29.64-2.07+0.14-0.01</f>
        <v>29211.383654260197</v>
      </c>
      <c r="F47" s="221">
        <f>19695.8082472875+921-64.14+4.49-0.32+0.03</f>
        <v>20556.868247287501</v>
      </c>
      <c r="G47" s="55">
        <f t="shared" si="3"/>
        <v>115249.8619015477</v>
      </c>
      <c r="H47" s="228"/>
    </row>
    <row r="48" spans="3:14" s="51" customFormat="1" ht="15.75" customHeight="1" x14ac:dyDescent="0.35">
      <c r="C48" s="50" t="s">
        <v>56</v>
      </c>
      <c r="D48" s="61">
        <f>SUM(D41:D47)</f>
        <v>213888.58000000002</v>
      </c>
      <c r="E48" s="61">
        <f>SUM(E41:E47)</f>
        <v>85828.603654260194</v>
      </c>
      <c r="F48" s="61">
        <f>SUM(F41:F47)</f>
        <v>60278.058247287503</v>
      </c>
      <c r="G48" s="55">
        <f t="shared" si="3"/>
        <v>359995.24190154776</v>
      </c>
      <c r="H48" s="228"/>
      <c r="I48" s="228">
        <f>+G48-H48</f>
        <v>359995.24190154776</v>
      </c>
    </row>
    <row r="49" spans="3:13" s="51" customFormat="1" ht="15.75" customHeight="1" thickBot="1" x14ac:dyDescent="0.4">
      <c r="C49" s="48"/>
      <c r="D49" s="49"/>
      <c r="E49" s="49"/>
      <c r="F49" s="49"/>
      <c r="G49" s="48"/>
      <c r="I49" s="228"/>
    </row>
    <row r="50" spans="3:13" s="51" customFormat="1" ht="19.5" customHeight="1" thickBot="1" x14ac:dyDescent="0.4">
      <c r="C50" s="286" t="s">
        <v>16</v>
      </c>
      <c r="D50" s="287"/>
      <c r="E50" s="287"/>
      <c r="F50" s="287"/>
      <c r="G50" s="288"/>
    </row>
    <row r="51" spans="3:13" s="51" customFormat="1" ht="19.5" customHeight="1" x14ac:dyDescent="0.35">
      <c r="C51" s="68"/>
      <c r="D51" s="282" t="str">
        <f>'1) Budget Table'!D4</f>
        <v>UNDP</v>
      </c>
      <c r="E51" s="282" t="str">
        <f>'1) Budget Table'!E4</f>
        <v>UNODC</v>
      </c>
      <c r="F51" s="282" t="str">
        <f>'1) Budget Table'!F4</f>
        <v>IOM</v>
      </c>
      <c r="G51" s="284" t="s">
        <v>16</v>
      </c>
    </row>
    <row r="52" spans="3:13" s="51" customFormat="1" ht="19.5" customHeight="1" x14ac:dyDescent="0.35">
      <c r="C52" s="68"/>
      <c r="D52" s="283"/>
      <c r="E52" s="283"/>
      <c r="F52" s="283"/>
      <c r="G52" s="285"/>
    </row>
    <row r="53" spans="3:13" s="51" customFormat="1" ht="19.5" customHeight="1" x14ac:dyDescent="0.35">
      <c r="C53" s="18" t="s">
        <v>8</v>
      </c>
      <c r="D53" s="69">
        <f>SUM(D30,D19,D8,D41)</f>
        <v>97540.739999999991</v>
      </c>
      <c r="E53" s="69">
        <f>SUM(,E30,E19,E8,E41)</f>
        <v>77852.72</v>
      </c>
      <c r="F53" s="69">
        <f t="shared" ref="F53:F59" si="4">SUM(F30,F19,F8,F41)</f>
        <v>32087</v>
      </c>
      <c r="G53" s="66">
        <f t="shared" ref="G53:G60" si="5">SUM(D53:F53)</f>
        <v>207480.46</v>
      </c>
    </row>
    <row r="54" spans="3:13" s="51" customFormat="1" ht="34.5" customHeight="1" x14ac:dyDescent="0.35">
      <c r="C54" s="18" t="s">
        <v>9</v>
      </c>
      <c r="D54" s="69">
        <f>SUM(,D31,D20,D9,D42)</f>
        <v>101448.29000000001</v>
      </c>
      <c r="E54" s="69">
        <f t="shared" ref="E54:E59" si="6">SUM(E31,E20,E9,E42)</f>
        <v>61182.78</v>
      </c>
      <c r="F54" s="69">
        <f t="shared" si="4"/>
        <v>53427.060529370494</v>
      </c>
      <c r="G54" s="67">
        <f t="shared" si="5"/>
        <v>216058.13052937051</v>
      </c>
    </row>
    <row r="55" spans="3:13" s="51" customFormat="1" ht="48" customHeight="1" x14ac:dyDescent="0.35">
      <c r="C55" s="18" t="s">
        <v>10</v>
      </c>
      <c r="D55" s="69">
        <f>SUM(D32,D21,D10,D43)</f>
        <v>3902.13</v>
      </c>
      <c r="E55" s="69">
        <f t="shared" si="6"/>
        <v>64081</v>
      </c>
      <c r="F55" s="69">
        <f t="shared" si="4"/>
        <v>9335</v>
      </c>
      <c r="G55" s="67">
        <f t="shared" si="5"/>
        <v>77318.13</v>
      </c>
    </row>
    <row r="56" spans="3:13" s="51" customFormat="1" ht="33" customHeight="1" x14ac:dyDescent="0.35">
      <c r="C56" s="27" t="s">
        <v>11</v>
      </c>
      <c r="D56" s="69">
        <f>SUM(D33,D22,D11,D44)</f>
        <v>131676.24</v>
      </c>
      <c r="E56" s="69">
        <f t="shared" si="6"/>
        <v>1430</v>
      </c>
      <c r="F56" s="69">
        <f t="shared" si="4"/>
        <v>0</v>
      </c>
      <c r="G56" s="67">
        <f t="shared" si="5"/>
        <v>133106.23999999999</v>
      </c>
    </row>
    <row r="57" spans="3:13" s="51" customFormat="1" ht="21" customHeight="1" x14ac:dyDescent="0.35">
      <c r="C57" s="18" t="s">
        <v>15</v>
      </c>
      <c r="D57" s="69">
        <f>SUM(D34,D23,D12,D45)</f>
        <v>0</v>
      </c>
      <c r="E57" s="69">
        <f t="shared" si="6"/>
        <v>3766</v>
      </c>
      <c r="F57" s="69">
        <f t="shared" si="4"/>
        <v>0</v>
      </c>
      <c r="G57" s="67">
        <f t="shared" si="5"/>
        <v>3766</v>
      </c>
      <c r="H57" s="22"/>
      <c r="I57" s="22"/>
      <c r="J57" s="22"/>
      <c r="K57" s="22"/>
      <c r="L57" s="22"/>
      <c r="M57" s="21"/>
    </row>
    <row r="58" spans="3:13" s="51" customFormat="1" ht="39.75" customHeight="1" x14ac:dyDescent="0.35">
      <c r="C58" s="18" t="s">
        <v>12</v>
      </c>
      <c r="D58" s="69">
        <f>SUM(D35,D24,D13,D46)</f>
        <v>0</v>
      </c>
      <c r="E58" s="69">
        <f t="shared" si="6"/>
        <v>10000</v>
      </c>
      <c r="F58" s="69">
        <f t="shared" si="4"/>
        <v>0</v>
      </c>
      <c r="G58" s="67">
        <f t="shared" si="5"/>
        <v>10000</v>
      </c>
      <c r="H58" s="22"/>
      <c r="I58" s="22"/>
      <c r="J58" s="22"/>
      <c r="K58" s="22"/>
      <c r="L58" s="22"/>
      <c r="M58" s="21"/>
    </row>
    <row r="59" spans="3:13" s="51" customFormat="1" ht="23.25" customHeight="1" x14ac:dyDescent="0.35">
      <c r="C59" s="18" t="s">
        <v>53</v>
      </c>
      <c r="D59" s="124">
        <f>SUM(D36,D25,D14,D47)</f>
        <v>203562.65000000002</v>
      </c>
      <c r="E59" s="124">
        <f t="shared" si="6"/>
        <v>84805.103654260194</v>
      </c>
      <c r="F59" s="124">
        <f t="shared" si="4"/>
        <v>109677.10824728751</v>
      </c>
      <c r="G59" s="67">
        <f t="shared" si="5"/>
        <v>398044.8619015477</v>
      </c>
      <c r="H59" s="22"/>
      <c r="I59" s="22"/>
      <c r="J59" s="22"/>
      <c r="K59" s="22"/>
      <c r="L59" s="22"/>
      <c r="M59" s="21"/>
    </row>
    <row r="60" spans="3:13" s="51" customFormat="1" ht="22.5" customHeight="1" x14ac:dyDescent="0.35">
      <c r="C60" s="126" t="s">
        <v>419</v>
      </c>
      <c r="D60" s="125">
        <f>SUM(D53:D59)</f>
        <v>538130.05000000005</v>
      </c>
      <c r="E60" s="125">
        <f>SUM(E53:E59)</f>
        <v>303117.60365426017</v>
      </c>
      <c r="F60" s="125">
        <f>SUM(F53:F59)</f>
        <v>204526.16877665801</v>
      </c>
      <c r="G60" s="127">
        <f t="shared" si="5"/>
        <v>1045773.8224309182</v>
      </c>
      <c r="H60" s="22"/>
      <c r="I60" s="22"/>
      <c r="J60" s="22"/>
      <c r="K60" s="22"/>
      <c r="L60" s="22"/>
      <c r="M60" s="21"/>
    </row>
    <row r="61" spans="3:13" s="51" customFormat="1" ht="26.25" customHeight="1" thickBot="1" x14ac:dyDescent="0.4">
      <c r="C61" s="130" t="s">
        <v>417</v>
      </c>
      <c r="D61" s="71">
        <f>D60*0.07</f>
        <v>37669.103500000005</v>
      </c>
      <c r="E61" s="71">
        <f t="shared" ref="E61:G61" si="7">E60*0.07</f>
        <v>21218.232255798215</v>
      </c>
      <c r="F61" s="71">
        <f t="shared" si="7"/>
        <v>14316.831814366062</v>
      </c>
      <c r="G61" s="131">
        <f t="shared" si="7"/>
        <v>73204.167570164282</v>
      </c>
      <c r="H61" s="29"/>
      <c r="I61" s="29"/>
      <c r="J61" s="29"/>
      <c r="K61" s="29"/>
      <c r="L61" s="52"/>
      <c r="M61" s="49"/>
    </row>
    <row r="62" spans="3:13" s="51" customFormat="1" ht="23.25" customHeight="1" thickBot="1" x14ac:dyDescent="0.4">
      <c r="C62" s="128" t="s">
        <v>418</v>
      </c>
      <c r="D62" s="129">
        <f>SUM(D60:D61)</f>
        <v>575799.15350000001</v>
      </c>
      <c r="E62" s="129">
        <f t="shared" ref="E62:G62" si="8">SUM(E60:E61)</f>
        <v>324335.83591005841</v>
      </c>
      <c r="F62" s="129">
        <f t="shared" si="8"/>
        <v>218843.00059102409</v>
      </c>
      <c r="G62" s="70">
        <f t="shared" si="8"/>
        <v>1118977.9900010824</v>
      </c>
      <c r="H62" s="29"/>
      <c r="I62" s="29"/>
      <c r="J62" s="29"/>
      <c r="K62" s="29"/>
      <c r="L62" s="52"/>
      <c r="M62" s="49"/>
    </row>
    <row r="63" spans="3:13" ht="15.75" customHeight="1" x14ac:dyDescent="0.35">
      <c r="D63" s="237"/>
      <c r="E63" s="235"/>
      <c r="F63" s="235"/>
      <c r="G63" s="236"/>
      <c r="H63" s="227"/>
      <c r="I63" s="227"/>
      <c r="J63" s="29"/>
      <c r="L63" s="53"/>
    </row>
    <row r="64" spans="3:13" ht="15.75" customHeight="1" x14ac:dyDescent="0.35">
      <c r="D64" s="241"/>
      <c r="E64" s="237"/>
      <c r="F64" s="241"/>
      <c r="G64" s="237"/>
      <c r="H64" s="230"/>
      <c r="I64" s="36"/>
      <c r="L64" s="53"/>
    </row>
    <row r="65" spans="3:14" ht="15.75" customHeight="1" x14ac:dyDescent="0.35">
      <c r="F65" s="235"/>
      <c r="H65" s="230"/>
      <c r="I65" s="36"/>
      <c r="J65" s="227"/>
      <c r="L65" s="51"/>
    </row>
    <row r="66" spans="3:14" ht="40.5" customHeight="1" x14ac:dyDescent="0.35">
      <c r="F66" s="235"/>
      <c r="H66" s="36"/>
      <c r="I66" s="230"/>
      <c r="L66" s="54"/>
    </row>
    <row r="67" spans="3:14" ht="24.75" customHeight="1" x14ac:dyDescent="0.35">
      <c r="F67" s="235"/>
      <c r="H67" s="36"/>
      <c r="I67" s="36"/>
      <c r="L67" s="54"/>
    </row>
    <row r="68" spans="3:14" ht="41.25" customHeight="1" x14ac:dyDescent="0.35">
      <c r="F68" s="235"/>
      <c r="H68" s="12"/>
      <c r="I68" s="36"/>
      <c r="L68" s="54"/>
    </row>
    <row r="69" spans="3:14" ht="51.75" customHeight="1" x14ac:dyDescent="0.35">
      <c r="F69" s="242"/>
      <c r="H69" s="12"/>
      <c r="I69" s="36"/>
      <c r="L69" s="54"/>
      <c r="N69" s="48"/>
    </row>
    <row r="70" spans="3:14" ht="42" customHeight="1" x14ac:dyDescent="0.35">
      <c r="F70" s="237"/>
      <c r="H70" s="36"/>
      <c r="I70" s="36"/>
      <c r="L70" s="54"/>
      <c r="N70" s="48"/>
    </row>
    <row r="71" spans="3:14" s="49" customFormat="1" ht="42" customHeight="1" x14ac:dyDescent="0.35">
      <c r="C71" s="48"/>
      <c r="G71" s="48"/>
      <c r="H71" s="51"/>
      <c r="I71" s="36"/>
      <c r="J71" s="48"/>
      <c r="K71" s="48"/>
      <c r="L71" s="54"/>
      <c r="M71" s="48"/>
    </row>
    <row r="72" spans="3:14" s="49" customFormat="1" ht="42" customHeight="1" x14ac:dyDescent="0.35">
      <c r="C72" s="48"/>
      <c r="G72" s="48"/>
      <c r="H72" s="48"/>
      <c r="I72" s="36"/>
      <c r="J72" s="48"/>
      <c r="K72" s="48"/>
      <c r="L72" s="48"/>
      <c r="M72" s="48"/>
    </row>
    <row r="73" spans="3:14" s="49" customFormat="1" ht="63.75" customHeight="1" x14ac:dyDescent="0.35">
      <c r="C73" s="48"/>
      <c r="G73" s="48"/>
      <c r="H73" s="48"/>
      <c r="I73" s="53"/>
      <c r="J73" s="51"/>
      <c r="K73" s="51"/>
      <c r="L73" s="48"/>
      <c r="M73" s="48"/>
    </row>
    <row r="74" spans="3:14" s="49" customFormat="1" ht="42" customHeight="1" x14ac:dyDescent="0.35">
      <c r="C74" s="48"/>
      <c r="G74" s="48"/>
      <c r="H74" s="48"/>
      <c r="I74" s="48"/>
      <c r="J74" s="48"/>
      <c r="K74" s="48"/>
      <c r="L74" s="48"/>
      <c r="M74" s="53"/>
    </row>
    <row r="75" spans="3:14" ht="23.25" customHeight="1" x14ac:dyDescent="0.35">
      <c r="N75" s="48"/>
    </row>
    <row r="76" spans="3:14" ht="27.75" customHeight="1" x14ac:dyDescent="0.35">
      <c r="L76" s="51"/>
      <c r="N76" s="48"/>
    </row>
    <row r="77" spans="3:14" ht="55.5" customHeight="1" x14ac:dyDescent="0.35">
      <c r="N77" s="48"/>
    </row>
    <row r="78" spans="3:14" ht="57.75" customHeight="1" x14ac:dyDescent="0.35">
      <c r="M78" s="51"/>
      <c r="N78" s="48"/>
    </row>
    <row r="79" spans="3:14" ht="21.75" customHeight="1" x14ac:dyDescent="0.35">
      <c r="N79" s="48"/>
    </row>
    <row r="80" spans="3:14" ht="49.5" customHeight="1" x14ac:dyDescent="0.35">
      <c r="N80" s="48"/>
    </row>
    <row r="81" spans="3:14" ht="28.5" customHeight="1" x14ac:dyDescent="0.35">
      <c r="N81" s="48"/>
    </row>
    <row r="82" spans="3:14" ht="28.5" customHeight="1" x14ac:dyDescent="0.35">
      <c r="N82" s="48"/>
    </row>
    <row r="83" spans="3:14" ht="28.5" customHeight="1" x14ac:dyDescent="0.35">
      <c r="N83" s="48"/>
    </row>
    <row r="84" spans="3:14" ht="23.25" customHeight="1" x14ac:dyDescent="0.35">
      <c r="N84" s="53"/>
    </row>
    <row r="85" spans="3:14" ht="43.5" customHeight="1" x14ac:dyDescent="0.35">
      <c r="N85" s="53"/>
    </row>
    <row r="86" spans="3:14" ht="55.5" customHeight="1" x14ac:dyDescent="0.35">
      <c r="N86" s="48"/>
    </row>
    <row r="87" spans="3:14" ht="42.75" customHeight="1" x14ac:dyDescent="0.35">
      <c r="N87" s="53"/>
    </row>
    <row r="88" spans="3:14" ht="21.75" customHeight="1" x14ac:dyDescent="0.35">
      <c r="N88" s="53"/>
    </row>
    <row r="89" spans="3:14" ht="21.75" customHeight="1" x14ac:dyDescent="0.35">
      <c r="N89" s="53"/>
    </row>
    <row r="90" spans="3:14" s="51" customFormat="1" ht="23.25" customHeight="1" x14ac:dyDescent="0.35">
      <c r="C90" s="48"/>
      <c r="D90" s="49"/>
      <c r="E90" s="49"/>
      <c r="F90" s="49"/>
      <c r="G90" s="48"/>
      <c r="H90" s="48"/>
      <c r="I90" s="48"/>
      <c r="J90" s="48"/>
      <c r="K90" s="48"/>
      <c r="L90" s="48"/>
      <c r="M90" s="48"/>
    </row>
    <row r="91" spans="3:14" ht="23.25" customHeight="1" x14ac:dyDescent="0.35"/>
    <row r="92" spans="3:14" ht="21.75" customHeight="1" x14ac:dyDescent="0.35"/>
    <row r="93" spans="3:14" ht="16.5" customHeight="1" x14ac:dyDescent="0.35"/>
    <row r="94" spans="3:14" ht="29.25" customHeight="1" x14ac:dyDescent="0.35"/>
    <row r="95" spans="3:14" ht="24.75" customHeight="1" x14ac:dyDescent="0.35"/>
    <row r="96" spans="3:14" ht="33" customHeight="1" x14ac:dyDescent="0.35"/>
    <row r="98" ht="15" customHeight="1" x14ac:dyDescent="0.35"/>
    <row r="99" ht="25.5" customHeight="1" x14ac:dyDescent="0.35"/>
  </sheetData>
  <sheetProtection insertColumns="0" insertRows="0" deleteRows="0"/>
  <mergeCells count="12">
    <mergeCell ref="D51:D52"/>
    <mergeCell ref="E51:E52"/>
    <mergeCell ref="F51:F52"/>
    <mergeCell ref="C2:E2"/>
    <mergeCell ref="C39:G39"/>
    <mergeCell ref="G51:G52"/>
    <mergeCell ref="C50:G50"/>
    <mergeCell ref="C1:F1"/>
    <mergeCell ref="B5:G5"/>
    <mergeCell ref="C6:G6"/>
    <mergeCell ref="C17:G17"/>
    <mergeCell ref="C28:G28"/>
  </mergeCells>
  <conditionalFormatting sqref="G15">
    <cfRule type="cellIs" dxfId="10" priority="18" operator="notEqual">
      <formula>$G$7</formula>
    </cfRule>
  </conditionalFormatting>
  <conditionalFormatting sqref="G26">
    <cfRule type="cellIs" dxfId="9" priority="17" operator="notEqual">
      <formula>$G$18</formula>
    </cfRule>
  </conditionalFormatting>
  <conditionalFormatting sqref="G37">
    <cfRule type="cellIs" dxfId="8" priority="16" operator="notEqual">
      <formula>$G$29</formula>
    </cfRule>
  </conditionalFormatting>
  <conditionalFormatting sqref="G48">
    <cfRule type="cellIs" dxfId="7" priority="2" operator="notEqual">
      <formula>$G$40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59 C47"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58 C46" xr:uid="{9DD30DAD-252C-43C8-B2D2-D70E24558917}"/>
    <dataValidation allowBlank="1" showInputMessage="1" showErrorMessage="1" prompt="Services contracted by an organization which follow the normal procurement processes." sqref="C11 C22 C33 C56 C44" xr:uid="{D2D4883A-DF6E-4599-89E1-C25704DD6B71}"/>
    <dataValidation allowBlank="1" showInputMessage="1" showErrorMessage="1" prompt="Includes staff and non-staff travel paid for by the organization directly related to a project." sqref="C12 C23 C34 C57 C45"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55 C43"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54 C42" xr:uid="{F098AF50-6738-49DD-B927-47F3EEE74261}"/>
    <dataValidation allowBlank="1" showInputMessage="1" showErrorMessage="1" prompt="Includes all related staff and temporary staff costs including base salary, post adjustment and all staff entitlements." sqref="C8 C19 C30 C53 C41"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ignoredErrors>
    <ignoredError sqref="D4:F4 D51:F52"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Table'!$G$56</xm:f>
            <x14:dxf>
              <font>
                <color rgb="FF9C0006"/>
              </font>
              <fill>
                <patternFill>
                  <bgColor rgb="FFFFC7CE"/>
                </patternFill>
              </fill>
            </x14:dxf>
          </x14:cfRule>
          <xm:sqref>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6" workbookViewId="0"/>
  </sheetViews>
  <sheetFormatPr defaultColWidth="8.81640625" defaultRowHeight="14.5" x14ac:dyDescent="0.35"/>
  <cols>
    <col min="2" max="2" width="73.26953125" customWidth="1"/>
  </cols>
  <sheetData>
    <row r="1" spans="2:6" ht="15" thickBot="1" x14ac:dyDescent="0.4"/>
    <row r="2" spans="2:6" ht="15" thickBot="1" x14ac:dyDescent="0.4">
      <c r="B2" s="136" t="s">
        <v>24</v>
      </c>
      <c r="C2" s="1"/>
      <c r="D2" s="1"/>
      <c r="E2" s="1"/>
      <c r="F2" s="1"/>
    </row>
    <row r="3" spans="2:6" x14ac:dyDescent="0.35">
      <c r="B3" s="137"/>
    </row>
    <row r="4" spans="2:6" ht="30.75" customHeight="1" x14ac:dyDescent="0.35">
      <c r="B4" s="138" t="s">
        <v>17</v>
      </c>
    </row>
    <row r="5" spans="2:6" ht="30.75" customHeight="1" x14ac:dyDescent="0.35">
      <c r="B5" s="138"/>
    </row>
    <row r="6" spans="2:6" ht="58" x14ac:dyDescent="0.35">
      <c r="B6" s="138" t="s">
        <v>18</v>
      </c>
    </row>
    <row r="7" spans="2:6" x14ac:dyDescent="0.35">
      <c r="B7" s="138"/>
    </row>
    <row r="8" spans="2:6" ht="58" x14ac:dyDescent="0.35">
      <c r="B8" s="138" t="s">
        <v>19</v>
      </c>
    </row>
    <row r="9" spans="2:6" x14ac:dyDescent="0.35">
      <c r="B9" s="138"/>
    </row>
    <row r="10" spans="2:6" ht="58" x14ac:dyDescent="0.35">
      <c r="B10" s="138" t="s">
        <v>20</v>
      </c>
    </row>
    <row r="11" spans="2:6" x14ac:dyDescent="0.35">
      <c r="B11" s="138"/>
    </row>
    <row r="12" spans="2:6" ht="29" x14ac:dyDescent="0.35">
      <c r="B12" s="138" t="s">
        <v>21</v>
      </c>
    </row>
    <row r="13" spans="2:6" x14ac:dyDescent="0.35">
      <c r="B13" s="138"/>
    </row>
    <row r="14" spans="2:6" ht="58" x14ac:dyDescent="0.35">
      <c r="B14" s="138" t="s">
        <v>22</v>
      </c>
    </row>
    <row r="15" spans="2:6" x14ac:dyDescent="0.35">
      <c r="B15" s="138"/>
    </row>
    <row r="16" spans="2:6" ht="44" thickBot="1" x14ac:dyDescent="0.4">
      <c r="B16" s="139" t="s">
        <v>23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43"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9" t="s">
        <v>424</v>
      </c>
      <c r="C2" s="290"/>
      <c r="D2" s="291"/>
    </row>
    <row r="3" spans="2:4" ht="15" thickBot="1" x14ac:dyDescent="0.4">
      <c r="B3" s="292"/>
      <c r="C3" s="293"/>
      <c r="D3" s="294"/>
    </row>
    <row r="4" spans="2:4" ht="15" thickBot="1" x14ac:dyDescent="0.4"/>
    <row r="5" spans="2:4" x14ac:dyDescent="0.35">
      <c r="B5" s="300" t="s">
        <v>57</v>
      </c>
      <c r="C5" s="301"/>
      <c r="D5" s="302"/>
    </row>
    <row r="6" spans="2:4" ht="15" thickBot="1" x14ac:dyDescent="0.4">
      <c r="B6" s="297"/>
      <c r="C6" s="298"/>
      <c r="D6" s="299"/>
    </row>
    <row r="7" spans="2:4" x14ac:dyDescent="0.35">
      <c r="B7" s="79" t="s">
        <v>61</v>
      </c>
      <c r="C7" s="295" t="e">
        <f>SUM('1) Budget Table'!D18:F18,'1) Budget Table'!D28:F28,'1) Budget Table'!D36:F36,'1) Budget Table'!#REF!)</f>
        <v>#REF!</v>
      </c>
      <c r="D7" s="296"/>
    </row>
    <row r="8" spans="2:4" x14ac:dyDescent="0.35">
      <c r="B8" s="79" t="s">
        <v>408</v>
      </c>
      <c r="C8" s="303" t="e">
        <f>SUM(D10:D14)</f>
        <v>#REF!</v>
      </c>
      <c r="D8" s="304"/>
    </row>
    <row r="9" spans="2:4" x14ac:dyDescent="0.35">
      <c r="B9" s="80" t="s">
        <v>402</v>
      </c>
      <c r="C9" s="81" t="s">
        <v>403</v>
      </c>
      <c r="D9" s="82" t="s">
        <v>404</v>
      </c>
    </row>
    <row r="10" spans="2:4" ht="35.15" customHeight="1" x14ac:dyDescent="0.35">
      <c r="B10" s="102"/>
      <c r="C10" s="84"/>
      <c r="D10" s="85" t="e">
        <f>$C$7*C10</f>
        <v>#REF!</v>
      </c>
    </row>
    <row r="11" spans="2:4" ht="35.15" customHeight="1" x14ac:dyDescent="0.35">
      <c r="B11" s="102"/>
      <c r="C11" s="84"/>
      <c r="D11" s="85" t="e">
        <f>C7*C11</f>
        <v>#REF!</v>
      </c>
    </row>
    <row r="12" spans="2:4" ht="35.15" customHeight="1" x14ac:dyDescent="0.35">
      <c r="B12" s="103"/>
      <c r="C12" s="84"/>
      <c r="D12" s="85" t="e">
        <f>C7*C12</f>
        <v>#REF!</v>
      </c>
    </row>
    <row r="13" spans="2:4" ht="35.15" customHeight="1" x14ac:dyDescent="0.35">
      <c r="B13" s="103"/>
      <c r="C13" s="84"/>
      <c r="D13" s="85" t="e">
        <f>C7*C13</f>
        <v>#REF!</v>
      </c>
    </row>
    <row r="14" spans="2:4" ht="35.15" customHeight="1" thickBot="1" x14ac:dyDescent="0.4">
      <c r="B14" s="104"/>
      <c r="C14" s="84"/>
      <c r="D14" s="89" t="e">
        <f>C7*C14</f>
        <v>#REF!</v>
      </c>
    </row>
    <row r="15" spans="2:4" ht="15" thickBot="1" x14ac:dyDescent="0.4"/>
    <row r="16" spans="2:4" x14ac:dyDescent="0.35">
      <c r="B16" s="300" t="s">
        <v>405</v>
      </c>
      <c r="C16" s="301"/>
      <c r="D16" s="302"/>
    </row>
    <row r="17" spans="2:4" ht="15" thickBot="1" x14ac:dyDescent="0.4">
      <c r="B17" s="305"/>
      <c r="C17" s="306"/>
      <c r="D17" s="307"/>
    </row>
    <row r="18" spans="2:4" x14ac:dyDescent="0.35">
      <c r="B18" s="79" t="s">
        <v>61</v>
      </c>
      <c r="C18" s="295" t="e">
        <f>SUM('1) Budget Table'!#REF!,'1) Budget Table'!#REF!,'1) Budget Table'!#REF!,'1) Budget Table'!#REF!)</f>
        <v>#REF!</v>
      </c>
      <c r="D18" s="296"/>
    </row>
    <row r="19" spans="2:4" x14ac:dyDescent="0.35">
      <c r="B19" s="79" t="s">
        <v>408</v>
      </c>
      <c r="C19" s="303" t="e">
        <f>SUM(D21:D25)</f>
        <v>#REF!</v>
      </c>
      <c r="D19" s="304"/>
    </row>
    <row r="20" spans="2:4" x14ac:dyDescent="0.35">
      <c r="B20" s="80" t="s">
        <v>402</v>
      </c>
      <c r="C20" s="81" t="s">
        <v>403</v>
      </c>
      <c r="D20" s="82" t="s">
        <v>404</v>
      </c>
    </row>
    <row r="21" spans="2:4" ht="35.15" customHeight="1" x14ac:dyDescent="0.35">
      <c r="B21" s="83"/>
      <c r="C21" s="84"/>
      <c r="D21" s="85" t="e">
        <f>$C$18*C21</f>
        <v>#REF!</v>
      </c>
    </row>
    <row r="22" spans="2:4" ht="35.15" customHeight="1" x14ac:dyDescent="0.35">
      <c r="B22" s="86"/>
      <c r="C22" s="84"/>
      <c r="D22" s="85" t="e">
        <f>$C$18*C22</f>
        <v>#REF!</v>
      </c>
    </row>
    <row r="23" spans="2:4" ht="35.15" customHeight="1" x14ac:dyDescent="0.35">
      <c r="B23" s="87"/>
      <c r="C23" s="84"/>
      <c r="D23" s="85" t="e">
        <f>$C$18*C23</f>
        <v>#REF!</v>
      </c>
    </row>
    <row r="24" spans="2:4" ht="35.15" customHeight="1" x14ac:dyDescent="0.35">
      <c r="B24" s="87"/>
      <c r="C24" s="84"/>
      <c r="D24" s="85" t="e">
        <f>$C$18*C24</f>
        <v>#REF!</v>
      </c>
    </row>
    <row r="25" spans="2:4" ht="35.15" customHeight="1" thickBot="1" x14ac:dyDescent="0.4">
      <c r="B25" s="88"/>
      <c r="C25" s="84"/>
      <c r="D25" s="85" t="e">
        <f>$C$18*C25</f>
        <v>#REF!</v>
      </c>
    </row>
    <row r="26" spans="2:4" ht="15" thickBot="1" x14ac:dyDescent="0.4"/>
    <row r="27" spans="2:4" x14ac:dyDescent="0.35">
      <c r="B27" s="300" t="s">
        <v>406</v>
      </c>
      <c r="C27" s="301"/>
      <c r="D27" s="302"/>
    </row>
    <row r="28" spans="2:4" ht="15" thickBot="1" x14ac:dyDescent="0.4">
      <c r="B28" s="297"/>
      <c r="C28" s="298"/>
      <c r="D28" s="299"/>
    </row>
    <row r="29" spans="2:4" x14ac:dyDescent="0.35">
      <c r="B29" s="79" t="s">
        <v>61</v>
      </c>
      <c r="C29" s="295" t="e">
        <f>SUM('1) Budget Table'!#REF!,'1) Budget Table'!#REF!,'1) Budget Table'!#REF!,'1) Budget Table'!#REF!)</f>
        <v>#REF!</v>
      </c>
      <c r="D29" s="296"/>
    </row>
    <row r="30" spans="2:4" x14ac:dyDescent="0.35">
      <c r="B30" s="79" t="s">
        <v>408</v>
      </c>
      <c r="C30" s="303" t="e">
        <f>SUM(D32:D36)</f>
        <v>#REF!</v>
      </c>
      <c r="D30" s="304"/>
    </row>
    <row r="31" spans="2:4" x14ac:dyDescent="0.35">
      <c r="B31" s="80" t="s">
        <v>402</v>
      </c>
      <c r="C31" s="81" t="s">
        <v>403</v>
      </c>
      <c r="D31" s="82" t="s">
        <v>404</v>
      </c>
    </row>
    <row r="32" spans="2:4" ht="35.15" customHeight="1" x14ac:dyDescent="0.35">
      <c r="B32" s="83"/>
      <c r="C32" s="84"/>
      <c r="D32" s="85" t="e">
        <f>$C$29*C32</f>
        <v>#REF!</v>
      </c>
    </row>
    <row r="33" spans="2:4" ht="35.15" customHeight="1" x14ac:dyDescent="0.35">
      <c r="B33" s="86"/>
      <c r="C33" s="84"/>
      <c r="D33" s="85" t="e">
        <f>$C$29*C33</f>
        <v>#REF!</v>
      </c>
    </row>
    <row r="34" spans="2:4" ht="35.15" customHeight="1" x14ac:dyDescent="0.35">
      <c r="B34" s="87"/>
      <c r="C34" s="84"/>
      <c r="D34" s="85" t="e">
        <f>$C$29*C34</f>
        <v>#REF!</v>
      </c>
    </row>
    <row r="35" spans="2:4" ht="35.15" customHeight="1" x14ac:dyDescent="0.35">
      <c r="B35" s="87"/>
      <c r="C35" s="84"/>
      <c r="D35" s="85" t="e">
        <f>$C$29*C35</f>
        <v>#REF!</v>
      </c>
    </row>
    <row r="36" spans="2:4" ht="35.15" customHeight="1" thickBot="1" x14ac:dyDescent="0.4">
      <c r="B36" s="88"/>
      <c r="C36" s="84"/>
      <c r="D36" s="85" t="e">
        <f>$C$29*C36</f>
        <v>#REF!</v>
      </c>
    </row>
    <row r="37" spans="2:4" ht="15" thickBot="1" x14ac:dyDescent="0.4"/>
    <row r="38" spans="2:4" x14ac:dyDescent="0.35">
      <c r="B38" s="300" t="s">
        <v>407</v>
      </c>
      <c r="C38" s="301"/>
      <c r="D38" s="302"/>
    </row>
    <row r="39" spans="2:4" ht="15" thickBot="1" x14ac:dyDescent="0.4">
      <c r="B39" s="297"/>
      <c r="C39" s="298"/>
      <c r="D39" s="299"/>
    </row>
    <row r="40" spans="2:4" x14ac:dyDescent="0.35">
      <c r="B40" s="79" t="s">
        <v>61</v>
      </c>
      <c r="C40" s="295" t="e">
        <f>SUM('1) Budget Table'!#REF!,'1) Budget Table'!#REF!,'1) Budget Table'!#REF!,'1) Budget Table'!#REF!)</f>
        <v>#REF!</v>
      </c>
      <c r="D40" s="296"/>
    </row>
    <row r="41" spans="2:4" x14ac:dyDescent="0.35">
      <c r="B41" s="79" t="s">
        <v>408</v>
      </c>
      <c r="C41" s="303" t="e">
        <f>SUM(D43:D47)</f>
        <v>#REF!</v>
      </c>
      <c r="D41" s="304"/>
    </row>
    <row r="42" spans="2:4" x14ac:dyDescent="0.35">
      <c r="B42" s="80" t="s">
        <v>402</v>
      </c>
      <c r="C42" s="81" t="s">
        <v>403</v>
      </c>
      <c r="D42" s="82" t="s">
        <v>404</v>
      </c>
    </row>
    <row r="43" spans="2:4" ht="35.15" customHeight="1" x14ac:dyDescent="0.35">
      <c r="B43" s="83"/>
      <c r="C43" s="84"/>
      <c r="D43" s="85" t="e">
        <f>$C$40*C43</f>
        <v>#REF!</v>
      </c>
    </row>
    <row r="44" spans="2:4" ht="35.15" customHeight="1" x14ac:dyDescent="0.35">
      <c r="B44" s="86"/>
      <c r="C44" s="84"/>
      <c r="D44" s="85" t="e">
        <f>$C$40*C44</f>
        <v>#REF!</v>
      </c>
    </row>
    <row r="45" spans="2:4" ht="35.15" customHeight="1" x14ac:dyDescent="0.35">
      <c r="B45" s="87"/>
      <c r="C45" s="84"/>
      <c r="D45" s="85" t="e">
        <f>$C$40*C45</f>
        <v>#REF!</v>
      </c>
    </row>
    <row r="46" spans="2:4" ht="35.15" customHeight="1" x14ac:dyDescent="0.35">
      <c r="B46" s="87"/>
      <c r="C46" s="84"/>
      <c r="D46" s="85" t="e">
        <f>$C$40*C46</f>
        <v>#REF!</v>
      </c>
    </row>
    <row r="47" spans="2:4" ht="35.15" customHeight="1" thickBot="1" x14ac:dyDescent="0.4">
      <c r="B47" s="88"/>
      <c r="C47" s="84"/>
      <c r="D47" s="89"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1" zoomScale="80" zoomScaleNormal="80" workbookViewId="0">
      <selection activeCell="G27" sqref="G27"/>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2" customFormat="1" ht="15.5" x14ac:dyDescent="0.35">
      <c r="B2" s="309" t="s">
        <v>49</v>
      </c>
      <c r="C2" s="310"/>
      <c r="D2" s="310"/>
      <c r="E2" s="310"/>
      <c r="F2" s="311"/>
    </row>
    <row r="3" spans="2:6" s="72" customFormat="1" ht="16" thickBot="1" x14ac:dyDescent="0.4">
      <c r="B3" s="312"/>
      <c r="C3" s="313"/>
      <c r="D3" s="313"/>
      <c r="E3" s="313"/>
      <c r="F3" s="314"/>
    </row>
    <row r="4" spans="2:6" s="72" customFormat="1" ht="16" thickBot="1" x14ac:dyDescent="0.4"/>
    <row r="5" spans="2:6" s="72" customFormat="1" ht="16" thickBot="1" x14ac:dyDescent="0.4">
      <c r="B5" s="286" t="s">
        <v>16</v>
      </c>
      <c r="C5" s="287"/>
      <c r="D5" s="287"/>
      <c r="E5" s="287"/>
      <c r="F5" s="288"/>
    </row>
    <row r="6" spans="2:6" s="72" customFormat="1" ht="15.5" x14ac:dyDescent="0.35">
      <c r="B6" s="147"/>
      <c r="C6" s="315" t="str">
        <f>'1) Budget Table'!D4</f>
        <v>UNDP</v>
      </c>
      <c r="D6" s="315" t="str">
        <f>'1) Budget Table'!E4</f>
        <v>UNODC</v>
      </c>
      <c r="E6" s="315" t="str">
        <f>'1) Budget Table'!F4</f>
        <v>IOM</v>
      </c>
      <c r="F6" s="284" t="s">
        <v>16</v>
      </c>
    </row>
    <row r="7" spans="2:6" s="72" customFormat="1" ht="15.5" x14ac:dyDescent="0.35">
      <c r="B7" s="147"/>
      <c r="C7" s="316"/>
      <c r="D7" s="316"/>
      <c r="E7" s="316"/>
      <c r="F7" s="285"/>
    </row>
    <row r="8" spans="2:6" s="72" customFormat="1" ht="31" x14ac:dyDescent="0.35">
      <c r="B8" s="141" t="s">
        <v>8</v>
      </c>
      <c r="C8" s="148">
        <f>'2) By Category'!D53</f>
        <v>97540.739999999991</v>
      </c>
      <c r="D8" s="148">
        <f>'2) By Category'!E53</f>
        <v>77852.72</v>
      </c>
      <c r="E8" s="148">
        <f>'2) By Category'!F53</f>
        <v>32087</v>
      </c>
      <c r="F8" s="144">
        <f t="shared" ref="F8:F15" si="0">SUM(C8:E8)</f>
        <v>207480.46</v>
      </c>
    </row>
    <row r="9" spans="2:6" s="72" customFormat="1" ht="46.5" x14ac:dyDescent="0.35">
      <c r="B9" s="141" t="s">
        <v>9</v>
      </c>
      <c r="C9" s="148">
        <f>'2) By Category'!D54</f>
        <v>101448.29000000001</v>
      </c>
      <c r="D9" s="148">
        <f>'2) By Category'!E54</f>
        <v>61182.78</v>
      </c>
      <c r="E9" s="148">
        <f>'2) By Category'!F54</f>
        <v>53427.060529370494</v>
      </c>
      <c r="F9" s="145">
        <f t="shared" si="0"/>
        <v>216058.13052937051</v>
      </c>
    </row>
    <row r="10" spans="2:6" s="72" customFormat="1" ht="62" x14ac:dyDescent="0.35">
      <c r="B10" s="141" t="s">
        <v>10</v>
      </c>
      <c r="C10" s="148">
        <f>'2) By Category'!D55</f>
        <v>3902.13</v>
      </c>
      <c r="D10" s="148">
        <f>'2) By Category'!E55</f>
        <v>64081</v>
      </c>
      <c r="E10" s="148">
        <f>'2) By Category'!F55</f>
        <v>9335</v>
      </c>
      <c r="F10" s="145">
        <f t="shared" si="0"/>
        <v>77318.13</v>
      </c>
    </row>
    <row r="11" spans="2:6" s="72" customFormat="1" ht="31" x14ac:dyDescent="0.35">
      <c r="B11" s="143" t="s">
        <v>11</v>
      </c>
      <c r="C11" s="148">
        <f>'2) By Category'!D56</f>
        <v>131676.24</v>
      </c>
      <c r="D11" s="148">
        <f>'2) By Category'!E56</f>
        <v>1430</v>
      </c>
      <c r="E11" s="148">
        <f>'2) By Category'!F56</f>
        <v>0</v>
      </c>
      <c r="F11" s="145">
        <f t="shared" si="0"/>
        <v>133106.23999999999</v>
      </c>
    </row>
    <row r="12" spans="2:6" s="72" customFormat="1" ht="15.5" x14ac:dyDescent="0.35">
      <c r="B12" s="141" t="s">
        <v>15</v>
      </c>
      <c r="C12" s="148">
        <f>'2) By Category'!D57</f>
        <v>0</v>
      </c>
      <c r="D12" s="148">
        <f>'2) By Category'!E57</f>
        <v>3766</v>
      </c>
      <c r="E12" s="148">
        <f>'2) By Category'!F57</f>
        <v>0</v>
      </c>
      <c r="F12" s="145">
        <f t="shared" si="0"/>
        <v>3766</v>
      </c>
    </row>
    <row r="13" spans="2:6" s="72" customFormat="1" ht="46.5" x14ac:dyDescent="0.35">
      <c r="B13" s="141" t="s">
        <v>12</v>
      </c>
      <c r="C13" s="148">
        <f>'2) By Category'!D58</f>
        <v>0</v>
      </c>
      <c r="D13" s="148">
        <f>'2) By Category'!E58</f>
        <v>10000</v>
      </c>
      <c r="E13" s="148">
        <f>'2) By Category'!F58</f>
        <v>0</v>
      </c>
      <c r="F13" s="145">
        <f t="shared" si="0"/>
        <v>10000</v>
      </c>
    </row>
    <row r="14" spans="2:6" s="72" customFormat="1" ht="31.5" thickBot="1" x14ac:dyDescent="0.4">
      <c r="B14" s="142" t="s">
        <v>53</v>
      </c>
      <c r="C14" s="149">
        <f>'2) By Category'!D59</f>
        <v>203562.65000000002</v>
      </c>
      <c r="D14" s="149">
        <f>'2) By Category'!E59</f>
        <v>84805.103654260194</v>
      </c>
      <c r="E14" s="149">
        <f>'2) By Category'!F59</f>
        <v>109677.10824728751</v>
      </c>
      <c r="F14" s="146">
        <f t="shared" si="0"/>
        <v>398044.8619015477</v>
      </c>
    </row>
    <row r="15" spans="2:6" s="72" customFormat="1" ht="30" customHeight="1" x14ac:dyDescent="0.35">
      <c r="B15" s="152" t="s">
        <v>426</v>
      </c>
      <c r="C15" s="153">
        <f>SUM(C8:C14)</f>
        <v>538130.05000000005</v>
      </c>
      <c r="D15" s="153">
        <f>SUM(D8:D14)</f>
        <v>303117.60365426017</v>
      </c>
      <c r="E15" s="153">
        <f>SUM(E8:E14)</f>
        <v>204526.16877665801</v>
      </c>
      <c r="F15" s="154">
        <f t="shared" si="0"/>
        <v>1045773.8224309182</v>
      </c>
    </row>
    <row r="16" spans="2:6" s="150" customFormat="1" ht="19.5" customHeight="1" x14ac:dyDescent="0.35">
      <c r="B16" s="151" t="s">
        <v>417</v>
      </c>
      <c r="C16" s="155">
        <f>C15*0.07</f>
        <v>37669.103500000005</v>
      </c>
      <c r="D16" s="155">
        <f t="shared" ref="D16:F16" si="1">D15*0.07</f>
        <v>21218.232255798215</v>
      </c>
      <c r="E16" s="155">
        <f t="shared" si="1"/>
        <v>14316.831814366062</v>
      </c>
      <c r="F16" s="155">
        <f t="shared" si="1"/>
        <v>73204.167570164282</v>
      </c>
    </row>
    <row r="17" spans="2:7" s="150" customFormat="1" ht="25.5" customHeight="1" thickBot="1" x14ac:dyDescent="0.4">
      <c r="B17" s="156" t="s">
        <v>48</v>
      </c>
      <c r="C17" s="157">
        <f>C15+C16</f>
        <v>575799.15350000001</v>
      </c>
      <c r="D17" s="157">
        <f t="shared" ref="D17:F17" si="2">D15+D16</f>
        <v>324335.83591005841</v>
      </c>
      <c r="E17" s="157">
        <f t="shared" si="2"/>
        <v>218843.00059102409</v>
      </c>
      <c r="F17" s="157">
        <f t="shared" si="2"/>
        <v>1118977.9900010824</v>
      </c>
    </row>
    <row r="18" spans="2:7" s="72" customFormat="1" ht="16" thickBot="1" x14ac:dyDescent="0.4"/>
    <row r="19" spans="2:7" s="72" customFormat="1" ht="15.75" customHeight="1" x14ac:dyDescent="0.35">
      <c r="B19" s="317" t="s">
        <v>25</v>
      </c>
      <c r="C19" s="318"/>
      <c r="D19" s="318"/>
      <c r="E19" s="318"/>
      <c r="F19" s="319"/>
      <c r="G19" s="173"/>
    </row>
    <row r="20" spans="2:7" ht="15.75" customHeight="1" x14ac:dyDescent="0.35">
      <c r="B20" s="320"/>
      <c r="C20" s="254" t="str">
        <f>'1) Budget Table'!D4</f>
        <v>UNDP</v>
      </c>
      <c r="D20" s="254" t="str">
        <f>'1) Budget Table'!E4</f>
        <v>UNODC</v>
      </c>
      <c r="E20" s="254" t="str">
        <f>'1) Budget Table'!F4</f>
        <v>IOM</v>
      </c>
      <c r="F20" s="322" t="s">
        <v>418</v>
      </c>
      <c r="G20" s="308" t="s">
        <v>27</v>
      </c>
    </row>
    <row r="21" spans="2:7" ht="15.75" customHeight="1" x14ac:dyDescent="0.35">
      <c r="B21" s="321"/>
      <c r="C21" s="255"/>
      <c r="D21" s="255"/>
      <c r="E21" s="255"/>
      <c r="F21" s="323"/>
      <c r="G21" s="285"/>
    </row>
    <row r="22" spans="2:7" ht="23.25" customHeight="1" x14ac:dyDescent="0.35">
      <c r="B22" s="24" t="s">
        <v>26</v>
      </c>
      <c r="C22" s="169">
        <f>'1) Budget Table'!D62</f>
        <v>674100</v>
      </c>
      <c r="D22" s="169">
        <f>'1) Budget Table'!E62</f>
        <v>561750</v>
      </c>
      <c r="E22" s="169">
        <f>'1) Budget Table'!F62</f>
        <v>164780</v>
      </c>
      <c r="F22" s="171">
        <f>'1) Budget Table'!G62</f>
        <v>1400630</v>
      </c>
      <c r="G22" s="168">
        <f>'1) Budget Table'!H62</f>
        <v>0.7</v>
      </c>
    </row>
    <row r="23" spans="2:7" ht="24.75" customHeight="1" x14ac:dyDescent="0.35">
      <c r="B23" s="24" t="s">
        <v>28</v>
      </c>
      <c r="C23" s="169">
        <f>'1) Budget Table'!D63</f>
        <v>288900</v>
      </c>
      <c r="D23" s="169">
        <f>'1) Budget Table'!E63</f>
        <v>240750</v>
      </c>
      <c r="E23" s="169">
        <f>'1) Budget Table'!F63</f>
        <v>70620</v>
      </c>
      <c r="F23" s="171">
        <f>'1) Budget Table'!G63</f>
        <v>600270</v>
      </c>
      <c r="G23" s="9">
        <f>'1) Budget Table'!H63</f>
        <v>0.3</v>
      </c>
    </row>
    <row r="24" spans="2:7" ht="24.75" customHeight="1" x14ac:dyDescent="0.35">
      <c r="B24" s="24" t="s">
        <v>431</v>
      </c>
      <c r="C24" s="169">
        <f>'1) Budget Table'!D64</f>
        <v>0</v>
      </c>
      <c r="D24" s="169">
        <f>'1) Budget Table'!E64</f>
        <v>0</v>
      </c>
      <c r="E24" s="169">
        <f>'1) Budget Table'!F64</f>
        <v>0</v>
      </c>
      <c r="F24" s="171">
        <f>'1) Budget Table'!G64</f>
        <v>0</v>
      </c>
      <c r="G24" s="9">
        <f>'1) Budget Table'!H64</f>
        <v>0</v>
      </c>
    </row>
    <row r="25" spans="2:7" ht="16" thickBot="1" x14ac:dyDescent="0.4">
      <c r="B25" s="10" t="s">
        <v>418</v>
      </c>
      <c r="C25" s="170">
        <f>'1) Budget Table'!D65</f>
        <v>963000</v>
      </c>
      <c r="D25" s="170">
        <f>'1) Budget Table'!E65</f>
        <v>802500</v>
      </c>
      <c r="E25" s="170">
        <f>'1) Budget Table'!F65</f>
        <v>235400</v>
      </c>
      <c r="F25" s="172">
        <f>'1) Budget Table'!G65</f>
        <v>2000900</v>
      </c>
      <c r="G25" s="174"/>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Table'!$G$56</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35">
        <v>0</v>
      </c>
    </row>
    <row r="2" spans="1:1" x14ac:dyDescent="0.35">
      <c r="A2" s="135">
        <v>0.2</v>
      </c>
    </row>
    <row r="3" spans="1:1" x14ac:dyDescent="0.35">
      <c r="A3" s="135">
        <v>0.4</v>
      </c>
    </row>
    <row r="4" spans="1:1" x14ac:dyDescent="0.35">
      <c r="A4" s="135">
        <v>0.6</v>
      </c>
    </row>
    <row r="5" spans="1:1" x14ac:dyDescent="0.35">
      <c r="A5" s="135">
        <v>0.8</v>
      </c>
    </row>
    <row r="6" spans="1:1" x14ac:dyDescent="0.35">
      <c r="A6" s="13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73" t="s">
        <v>62</v>
      </c>
      <c r="B1" s="74" t="s">
        <v>63</v>
      </c>
    </row>
    <row r="2" spans="1:2" x14ac:dyDescent="0.35">
      <c r="A2" s="75" t="s">
        <v>64</v>
      </c>
      <c r="B2" s="76" t="s">
        <v>65</v>
      </c>
    </row>
    <row r="3" spans="1:2" x14ac:dyDescent="0.35">
      <c r="A3" s="75" t="s">
        <v>66</v>
      </c>
      <c r="B3" s="76" t="s">
        <v>67</v>
      </c>
    </row>
    <row r="4" spans="1:2" x14ac:dyDescent="0.35">
      <c r="A4" s="75" t="s">
        <v>68</v>
      </c>
      <c r="B4" s="76" t="s">
        <v>69</v>
      </c>
    </row>
    <row r="5" spans="1:2" x14ac:dyDescent="0.35">
      <c r="A5" s="75" t="s">
        <v>70</v>
      </c>
      <c r="B5" s="76" t="s">
        <v>71</v>
      </c>
    </row>
    <row r="6" spans="1:2" x14ac:dyDescent="0.35">
      <c r="A6" s="75" t="s">
        <v>72</v>
      </c>
      <c r="B6" s="76" t="s">
        <v>73</v>
      </c>
    </row>
    <row r="7" spans="1:2" x14ac:dyDescent="0.35">
      <c r="A7" s="75" t="s">
        <v>74</v>
      </c>
      <c r="B7" s="76" t="s">
        <v>75</v>
      </c>
    </row>
    <row r="8" spans="1:2" x14ac:dyDescent="0.35">
      <c r="A8" s="75" t="s">
        <v>76</v>
      </c>
      <c r="B8" s="76" t="s">
        <v>77</v>
      </c>
    </row>
    <row r="9" spans="1:2" x14ac:dyDescent="0.35">
      <c r="A9" s="75" t="s">
        <v>78</v>
      </c>
      <c r="B9" s="76" t="s">
        <v>79</v>
      </c>
    </row>
    <row r="10" spans="1:2" x14ac:dyDescent="0.35">
      <c r="A10" s="75" t="s">
        <v>80</v>
      </c>
      <c r="B10" s="76" t="s">
        <v>81</v>
      </c>
    </row>
    <row r="11" spans="1:2" x14ac:dyDescent="0.35">
      <c r="A11" s="75" t="s">
        <v>82</v>
      </c>
      <c r="B11" s="76" t="s">
        <v>83</v>
      </c>
    </row>
    <row r="12" spans="1:2" x14ac:dyDescent="0.35">
      <c r="A12" s="75" t="s">
        <v>84</v>
      </c>
      <c r="B12" s="76" t="s">
        <v>85</v>
      </c>
    </row>
    <row r="13" spans="1:2" x14ac:dyDescent="0.35">
      <c r="A13" s="75" t="s">
        <v>86</v>
      </c>
      <c r="B13" s="76" t="s">
        <v>87</v>
      </c>
    </row>
    <row r="14" spans="1:2" x14ac:dyDescent="0.35">
      <c r="A14" s="75" t="s">
        <v>88</v>
      </c>
      <c r="B14" s="76" t="s">
        <v>89</v>
      </c>
    </row>
    <row r="15" spans="1:2" x14ac:dyDescent="0.35">
      <c r="A15" s="75" t="s">
        <v>90</v>
      </c>
      <c r="B15" s="76" t="s">
        <v>91</v>
      </c>
    </row>
    <row r="16" spans="1:2" x14ac:dyDescent="0.35">
      <c r="A16" s="75" t="s">
        <v>92</v>
      </c>
      <c r="B16" s="76" t="s">
        <v>93</v>
      </c>
    </row>
    <row r="17" spans="1:2" x14ac:dyDescent="0.35">
      <c r="A17" s="75" t="s">
        <v>94</v>
      </c>
      <c r="B17" s="76" t="s">
        <v>95</v>
      </c>
    </row>
    <row r="18" spans="1:2" x14ac:dyDescent="0.35">
      <c r="A18" s="75" t="s">
        <v>96</v>
      </c>
      <c r="B18" s="76" t="s">
        <v>97</v>
      </c>
    </row>
    <row r="19" spans="1:2" x14ac:dyDescent="0.35">
      <c r="A19" s="75" t="s">
        <v>98</v>
      </c>
      <c r="B19" s="76" t="s">
        <v>99</v>
      </c>
    </row>
    <row r="20" spans="1:2" x14ac:dyDescent="0.35">
      <c r="A20" s="75" t="s">
        <v>100</v>
      </c>
      <c r="B20" s="76" t="s">
        <v>101</v>
      </c>
    </row>
    <row r="21" spans="1:2" x14ac:dyDescent="0.35">
      <c r="A21" s="75" t="s">
        <v>102</v>
      </c>
      <c r="B21" s="76" t="s">
        <v>103</v>
      </c>
    </row>
    <row r="22" spans="1:2" x14ac:dyDescent="0.35">
      <c r="A22" s="75" t="s">
        <v>104</v>
      </c>
      <c r="B22" s="76" t="s">
        <v>105</v>
      </c>
    </row>
    <row r="23" spans="1:2" x14ac:dyDescent="0.35">
      <c r="A23" s="75" t="s">
        <v>106</v>
      </c>
      <c r="B23" s="76" t="s">
        <v>107</v>
      </c>
    </row>
    <row r="24" spans="1:2" x14ac:dyDescent="0.35">
      <c r="A24" s="75" t="s">
        <v>108</v>
      </c>
      <c r="B24" s="76" t="s">
        <v>109</v>
      </c>
    </row>
    <row r="25" spans="1:2" x14ac:dyDescent="0.35">
      <c r="A25" s="75" t="s">
        <v>110</v>
      </c>
      <c r="B25" s="76" t="s">
        <v>111</v>
      </c>
    </row>
    <row r="26" spans="1:2" x14ac:dyDescent="0.35">
      <c r="A26" s="75" t="s">
        <v>112</v>
      </c>
      <c r="B26" s="76" t="s">
        <v>113</v>
      </c>
    </row>
    <row r="27" spans="1:2" x14ac:dyDescent="0.35">
      <c r="A27" s="75" t="s">
        <v>114</v>
      </c>
      <c r="B27" s="76" t="s">
        <v>115</v>
      </c>
    </row>
    <row r="28" spans="1:2" x14ac:dyDescent="0.35">
      <c r="A28" s="75" t="s">
        <v>116</v>
      </c>
      <c r="B28" s="76" t="s">
        <v>117</v>
      </c>
    </row>
    <row r="29" spans="1:2" x14ac:dyDescent="0.35">
      <c r="A29" s="75" t="s">
        <v>118</v>
      </c>
      <c r="B29" s="76" t="s">
        <v>119</v>
      </c>
    </row>
    <row r="30" spans="1:2" x14ac:dyDescent="0.35">
      <c r="A30" s="75" t="s">
        <v>120</v>
      </c>
      <c r="B30" s="76" t="s">
        <v>121</v>
      </c>
    </row>
    <row r="31" spans="1:2" x14ac:dyDescent="0.35">
      <c r="A31" s="75" t="s">
        <v>122</v>
      </c>
      <c r="B31" s="76" t="s">
        <v>123</v>
      </c>
    </row>
    <row r="32" spans="1:2" x14ac:dyDescent="0.35">
      <c r="A32" s="75" t="s">
        <v>124</v>
      </c>
      <c r="B32" s="76" t="s">
        <v>125</v>
      </c>
    </row>
    <row r="33" spans="1:2" x14ac:dyDescent="0.35">
      <c r="A33" s="75" t="s">
        <v>126</v>
      </c>
      <c r="B33" s="76" t="s">
        <v>127</v>
      </c>
    </row>
    <row r="34" spans="1:2" x14ac:dyDescent="0.35">
      <c r="A34" s="75" t="s">
        <v>128</v>
      </c>
      <c r="B34" s="76" t="s">
        <v>129</v>
      </c>
    </row>
    <row r="35" spans="1:2" x14ac:dyDescent="0.35">
      <c r="A35" s="75" t="s">
        <v>130</v>
      </c>
      <c r="B35" s="76" t="s">
        <v>131</v>
      </c>
    </row>
    <row r="36" spans="1:2" x14ac:dyDescent="0.35">
      <c r="A36" s="75" t="s">
        <v>132</v>
      </c>
      <c r="B36" s="76" t="s">
        <v>133</v>
      </c>
    </row>
    <row r="37" spans="1:2" x14ac:dyDescent="0.35">
      <c r="A37" s="75" t="s">
        <v>134</v>
      </c>
      <c r="B37" s="76" t="s">
        <v>135</v>
      </c>
    </row>
    <row r="38" spans="1:2" x14ac:dyDescent="0.35">
      <c r="A38" s="75" t="s">
        <v>136</v>
      </c>
      <c r="B38" s="76" t="s">
        <v>137</v>
      </c>
    </row>
    <row r="39" spans="1:2" x14ac:dyDescent="0.35">
      <c r="A39" s="75" t="s">
        <v>138</v>
      </c>
      <c r="B39" s="76" t="s">
        <v>139</v>
      </c>
    </row>
    <row r="40" spans="1:2" x14ac:dyDescent="0.35">
      <c r="A40" s="75" t="s">
        <v>140</v>
      </c>
      <c r="B40" s="76" t="s">
        <v>141</v>
      </c>
    </row>
    <row r="41" spans="1:2" x14ac:dyDescent="0.35">
      <c r="A41" s="75" t="s">
        <v>142</v>
      </c>
      <c r="B41" s="76" t="s">
        <v>143</v>
      </c>
    </row>
    <row r="42" spans="1:2" x14ac:dyDescent="0.35">
      <c r="A42" s="75" t="s">
        <v>144</v>
      </c>
      <c r="B42" s="76" t="s">
        <v>145</v>
      </c>
    </row>
    <row r="43" spans="1:2" x14ac:dyDescent="0.35">
      <c r="A43" s="75" t="s">
        <v>146</v>
      </c>
      <c r="B43" s="76" t="s">
        <v>147</v>
      </c>
    </row>
    <row r="44" spans="1:2" x14ac:dyDescent="0.35">
      <c r="A44" s="75" t="s">
        <v>148</v>
      </c>
      <c r="B44" s="76" t="s">
        <v>149</v>
      </c>
    </row>
    <row r="45" spans="1:2" x14ac:dyDescent="0.35">
      <c r="A45" s="75" t="s">
        <v>150</v>
      </c>
      <c r="B45" s="76" t="s">
        <v>151</v>
      </c>
    </row>
    <row r="46" spans="1:2" x14ac:dyDescent="0.35">
      <c r="A46" s="75" t="s">
        <v>152</v>
      </c>
      <c r="B46" s="76" t="s">
        <v>153</v>
      </c>
    </row>
    <row r="47" spans="1:2" x14ac:dyDescent="0.35">
      <c r="A47" s="75" t="s">
        <v>154</v>
      </c>
      <c r="B47" s="76" t="s">
        <v>155</v>
      </c>
    </row>
    <row r="48" spans="1:2" x14ac:dyDescent="0.35">
      <c r="A48" s="75" t="s">
        <v>156</v>
      </c>
      <c r="B48" s="76" t="s">
        <v>157</v>
      </c>
    </row>
    <row r="49" spans="1:2" x14ac:dyDescent="0.35">
      <c r="A49" s="75" t="s">
        <v>158</v>
      </c>
      <c r="B49" s="76" t="s">
        <v>159</v>
      </c>
    </row>
    <row r="50" spans="1:2" x14ac:dyDescent="0.35">
      <c r="A50" s="75" t="s">
        <v>160</v>
      </c>
      <c r="B50" s="76" t="s">
        <v>161</v>
      </c>
    </row>
    <row r="51" spans="1:2" x14ac:dyDescent="0.35">
      <c r="A51" s="75" t="s">
        <v>162</v>
      </c>
      <c r="B51" s="76" t="s">
        <v>163</v>
      </c>
    </row>
    <row r="52" spans="1:2" x14ac:dyDescent="0.35">
      <c r="A52" s="75" t="s">
        <v>164</v>
      </c>
      <c r="B52" s="76" t="s">
        <v>165</v>
      </c>
    </row>
    <row r="53" spans="1:2" x14ac:dyDescent="0.35">
      <c r="A53" s="75" t="s">
        <v>166</v>
      </c>
      <c r="B53" s="76" t="s">
        <v>167</v>
      </c>
    </row>
    <row r="54" spans="1:2" x14ac:dyDescent="0.35">
      <c r="A54" s="75" t="s">
        <v>168</v>
      </c>
      <c r="B54" s="76" t="s">
        <v>169</v>
      </c>
    </row>
    <row r="55" spans="1:2" x14ac:dyDescent="0.35">
      <c r="A55" s="75" t="s">
        <v>170</v>
      </c>
      <c r="B55" s="76" t="s">
        <v>171</v>
      </c>
    </row>
    <row r="56" spans="1:2" x14ac:dyDescent="0.35">
      <c r="A56" s="75" t="s">
        <v>172</v>
      </c>
      <c r="B56" s="76" t="s">
        <v>173</v>
      </c>
    </row>
    <row r="57" spans="1:2" x14ac:dyDescent="0.35">
      <c r="A57" s="75" t="s">
        <v>174</v>
      </c>
      <c r="B57" s="76" t="s">
        <v>175</v>
      </c>
    </row>
    <row r="58" spans="1:2" x14ac:dyDescent="0.35">
      <c r="A58" s="75" t="s">
        <v>176</v>
      </c>
      <c r="B58" s="76" t="s">
        <v>177</v>
      </c>
    </row>
    <row r="59" spans="1:2" x14ac:dyDescent="0.35">
      <c r="A59" s="75" t="s">
        <v>178</v>
      </c>
      <c r="B59" s="76" t="s">
        <v>179</v>
      </c>
    </row>
    <row r="60" spans="1:2" x14ac:dyDescent="0.35">
      <c r="A60" s="75" t="s">
        <v>180</v>
      </c>
      <c r="B60" s="76" t="s">
        <v>181</v>
      </c>
    </row>
    <row r="61" spans="1:2" x14ac:dyDescent="0.35">
      <c r="A61" s="75" t="s">
        <v>182</v>
      </c>
      <c r="B61" s="76" t="s">
        <v>183</v>
      </c>
    </row>
    <row r="62" spans="1:2" x14ac:dyDescent="0.35">
      <c r="A62" s="75" t="s">
        <v>184</v>
      </c>
      <c r="B62" s="76" t="s">
        <v>185</v>
      </c>
    </row>
    <row r="63" spans="1:2" x14ac:dyDescent="0.35">
      <c r="A63" s="75" t="s">
        <v>186</v>
      </c>
      <c r="B63" s="76" t="s">
        <v>187</v>
      </c>
    </row>
    <row r="64" spans="1:2" x14ac:dyDescent="0.35">
      <c r="A64" s="75" t="s">
        <v>188</v>
      </c>
      <c r="B64" s="76" t="s">
        <v>189</v>
      </c>
    </row>
    <row r="65" spans="1:2" x14ac:dyDescent="0.35">
      <c r="A65" s="75" t="s">
        <v>190</v>
      </c>
      <c r="B65" s="76" t="s">
        <v>191</v>
      </c>
    </row>
    <row r="66" spans="1:2" x14ac:dyDescent="0.35">
      <c r="A66" s="75" t="s">
        <v>192</v>
      </c>
      <c r="B66" s="76" t="s">
        <v>193</v>
      </c>
    </row>
    <row r="67" spans="1:2" x14ac:dyDescent="0.35">
      <c r="A67" s="75" t="s">
        <v>194</v>
      </c>
      <c r="B67" s="76" t="s">
        <v>195</v>
      </c>
    </row>
    <row r="68" spans="1:2" x14ac:dyDescent="0.35">
      <c r="A68" s="75" t="s">
        <v>196</v>
      </c>
      <c r="B68" s="76" t="s">
        <v>197</v>
      </c>
    </row>
    <row r="69" spans="1:2" x14ac:dyDescent="0.35">
      <c r="A69" s="75" t="s">
        <v>198</v>
      </c>
      <c r="B69" s="76" t="s">
        <v>199</v>
      </c>
    </row>
    <row r="70" spans="1:2" x14ac:dyDescent="0.35">
      <c r="A70" s="75" t="s">
        <v>200</v>
      </c>
      <c r="B70" s="76" t="s">
        <v>201</v>
      </c>
    </row>
    <row r="71" spans="1:2" x14ac:dyDescent="0.35">
      <c r="A71" s="75" t="s">
        <v>202</v>
      </c>
      <c r="B71" s="76" t="s">
        <v>203</v>
      </c>
    </row>
    <row r="72" spans="1:2" x14ac:dyDescent="0.35">
      <c r="A72" s="75" t="s">
        <v>204</v>
      </c>
      <c r="B72" s="76" t="s">
        <v>205</v>
      </c>
    </row>
    <row r="73" spans="1:2" x14ac:dyDescent="0.35">
      <c r="A73" s="75" t="s">
        <v>206</v>
      </c>
      <c r="B73" s="76" t="s">
        <v>207</v>
      </c>
    </row>
    <row r="74" spans="1:2" x14ac:dyDescent="0.35">
      <c r="A74" s="75" t="s">
        <v>208</v>
      </c>
      <c r="B74" s="76" t="s">
        <v>209</v>
      </c>
    </row>
    <row r="75" spans="1:2" x14ac:dyDescent="0.35">
      <c r="A75" s="75" t="s">
        <v>210</v>
      </c>
      <c r="B75" s="77" t="s">
        <v>211</v>
      </c>
    </row>
    <row r="76" spans="1:2" x14ac:dyDescent="0.35">
      <c r="A76" s="75" t="s">
        <v>212</v>
      </c>
      <c r="B76" s="77" t="s">
        <v>213</v>
      </c>
    </row>
    <row r="77" spans="1:2" x14ac:dyDescent="0.35">
      <c r="A77" s="75" t="s">
        <v>214</v>
      </c>
      <c r="B77" s="77" t="s">
        <v>215</v>
      </c>
    </row>
    <row r="78" spans="1:2" x14ac:dyDescent="0.35">
      <c r="A78" s="75" t="s">
        <v>216</v>
      </c>
      <c r="B78" s="77" t="s">
        <v>217</v>
      </c>
    </row>
    <row r="79" spans="1:2" x14ac:dyDescent="0.35">
      <c r="A79" s="75" t="s">
        <v>218</v>
      </c>
      <c r="B79" s="77" t="s">
        <v>219</v>
      </c>
    </row>
    <row r="80" spans="1:2" x14ac:dyDescent="0.35">
      <c r="A80" s="75" t="s">
        <v>220</v>
      </c>
      <c r="B80" s="77" t="s">
        <v>221</v>
      </c>
    </row>
    <row r="81" spans="1:2" x14ac:dyDescent="0.35">
      <c r="A81" s="75" t="s">
        <v>222</v>
      </c>
      <c r="B81" s="77" t="s">
        <v>223</v>
      </c>
    </row>
    <row r="82" spans="1:2" x14ac:dyDescent="0.35">
      <c r="A82" s="75" t="s">
        <v>224</v>
      </c>
      <c r="B82" s="77" t="s">
        <v>225</v>
      </c>
    </row>
    <row r="83" spans="1:2" x14ac:dyDescent="0.35">
      <c r="A83" s="75" t="s">
        <v>226</v>
      </c>
      <c r="B83" s="77" t="s">
        <v>227</v>
      </c>
    </row>
    <row r="84" spans="1:2" x14ac:dyDescent="0.35">
      <c r="A84" s="75" t="s">
        <v>228</v>
      </c>
      <c r="B84" s="77" t="s">
        <v>229</v>
      </c>
    </row>
    <row r="85" spans="1:2" x14ac:dyDescent="0.35">
      <c r="A85" s="75" t="s">
        <v>230</v>
      </c>
      <c r="B85" s="77" t="s">
        <v>231</v>
      </c>
    </row>
    <row r="86" spans="1:2" x14ac:dyDescent="0.35">
      <c r="A86" s="75" t="s">
        <v>232</v>
      </c>
      <c r="B86" s="77" t="s">
        <v>233</v>
      </c>
    </row>
    <row r="87" spans="1:2" x14ac:dyDescent="0.35">
      <c r="A87" s="75" t="s">
        <v>234</v>
      </c>
      <c r="B87" s="77" t="s">
        <v>235</v>
      </c>
    </row>
    <row r="88" spans="1:2" x14ac:dyDescent="0.35">
      <c r="A88" s="75" t="s">
        <v>236</v>
      </c>
      <c r="B88" s="77" t="s">
        <v>237</v>
      </c>
    </row>
    <row r="89" spans="1:2" x14ac:dyDescent="0.35">
      <c r="A89" s="75" t="s">
        <v>238</v>
      </c>
      <c r="B89" s="77" t="s">
        <v>239</v>
      </c>
    </row>
    <row r="90" spans="1:2" x14ac:dyDescent="0.35">
      <c r="A90" s="75" t="s">
        <v>240</v>
      </c>
      <c r="B90" s="77" t="s">
        <v>241</v>
      </c>
    </row>
    <row r="91" spans="1:2" x14ac:dyDescent="0.35">
      <c r="A91" s="75" t="s">
        <v>242</v>
      </c>
      <c r="B91" s="77" t="s">
        <v>243</v>
      </c>
    </row>
    <row r="92" spans="1:2" x14ac:dyDescent="0.35">
      <c r="A92" s="75" t="s">
        <v>244</v>
      </c>
      <c r="B92" s="77" t="s">
        <v>245</v>
      </c>
    </row>
    <row r="93" spans="1:2" x14ac:dyDescent="0.35">
      <c r="A93" s="75" t="s">
        <v>246</v>
      </c>
      <c r="B93" s="77" t="s">
        <v>247</v>
      </c>
    </row>
    <row r="94" spans="1:2" x14ac:dyDescent="0.35">
      <c r="A94" s="75" t="s">
        <v>248</v>
      </c>
      <c r="B94" s="77" t="s">
        <v>249</v>
      </c>
    </row>
    <row r="95" spans="1:2" x14ac:dyDescent="0.35">
      <c r="A95" s="75" t="s">
        <v>250</v>
      </c>
      <c r="B95" s="77" t="s">
        <v>251</v>
      </c>
    </row>
    <row r="96" spans="1:2" x14ac:dyDescent="0.35">
      <c r="A96" s="75" t="s">
        <v>252</v>
      </c>
      <c r="B96" s="77" t="s">
        <v>253</v>
      </c>
    </row>
    <row r="97" spans="1:2" x14ac:dyDescent="0.35">
      <c r="A97" s="75" t="s">
        <v>254</v>
      </c>
      <c r="B97" s="77" t="s">
        <v>255</v>
      </c>
    </row>
    <row r="98" spans="1:2" x14ac:dyDescent="0.35">
      <c r="A98" s="75" t="s">
        <v>256</v>
      </c>
      <c r="B98" s="77" t="s">
        <v>257</v>
      </c>
    </row>
    <row r="99" spans="1:2" x14ac:dyDescent="0.35">
      <c r="A99" s="75" t="s">
        <v>258</v>
      </c>
      <c r="B99" s="77" t="s">
        <v>259</v>
      </c>
    </row>
    <row r="100" spans="1:2" x14ac:dyDescent="0.35">
      <c r="A100" s="75" t="s">
        <v>260</v>
      </c>
      <c r="B100" s="77" t="s">
        <v>261</v>
      </c>
    </row>
    <row r="101" spans="1:2" x14ac:dyDescent="0.35">
      <c r="A101" s="75" t="s">
        <v>262</v>
      </c>
      <c r="B101" s="77" t="s">
        <v>263</v>
      </c>
    </row>
    <row r="102" spans="1:2" x14ac:dyDescent="0.35">
      <c r="A102" s="75" t="s">
        <v>264</v>
      </c>
      <c r="B102" s="77" t="s">
        <v>265</v>
      </c>
    </row>
    <row r="103" spans="1:2" x14ac:dyDescent="0.35">
      <c r="A103" s="75" t="s">
        <v>266</v>
      </c>
      <c r="B103" s="77" t="s">
        <v>267</v>
      </c>
    </row>
    <row r="104" spans="1:2" x14ac:dyDescent="0.35">
      <c r="A104" s="75" t="s">
        <v>268</v>
      </c>
      <c r="B104" s="77" t="s">
        <v>269</v>
      </c>
    </row>
    <row r="105" spans="1:2" x14ac:dyDescent="0.35">
      <c r="A105" s="75" t="s">
        <v>270</v>
      </c>
      <c r="B105" s="77" t="s">
        <v>271</v>
      </c>
    </row>
    <row r="106" spans="1:2" x14ac:dyDescent="0.35">
      <c r="A106" s="75" t="s">
        <v>272</v>
      </c>
      <c r="B106" s="77" t="s">
        <v>273</v>
      </c>
    </row>
    <row r="107" spans="1:2" x14ac:dyDescent="0.35">
      <c r="A107" s="75" t="s">
        <v>274</v>
      </c>
      <c r="B107" s="77" t="s">
        <v>275</v>
      </c>
    </row>
    <row r="108" spans="1:2" x14ac:dyDescent="0.35">
      <c r="A108" s="75" t="s">
        <v>276</v>
      </c>
      <c r="B108" s="77" t="s">
        <v>277</v>
      </c>
    </row>
    <row r="109" spans="1:2" x14ac:dyDescent="0.35">
      <c r="A109" s="75" t="s">
        <v>278</v>
      </c>
      <c r="B109" s="77" t="s">
        <v>279</v>
      </c>
    </row>
    <row r="110" spans="1:2" x14ac:dyDescent="0.35">
      <c r="A110" s="75" t="s">
        <v>280</v>
      </c>
      <c r="B110" s="77" t="s">
        <v>281</v>
      </c>
    </row>
    <row r="111" spans="1:2" x14ac:dyDescent="0.35">
      <c r="A111" s="75" t="s">
        <v>282</v>
      </c>
      <c r="B111" s="77" t="s">
        <v>283</v>
      </c>
    </row>
    <row r="112" spans="1:2" x14ac:dyDescent="0.35">
      <c r="A112" s="75" t="s">
        <v>284</v>
      </c>
      <c r="B112" s="77" t="s">
        <v>285</v>
      </c>
    </row>
    <row r="113" spans="1:2" x14ac:dyDescent="0.35">
      <c r="A113" s="75" t="s">
        <v>286</v>
      </c>
      <c r="B113" s="77" t="s">
        <v>287</v>
      </c>
    </row>
    <row r="114" spans="1:2" x14ac:dyDescent="0.35">
      <c r="A114" s="75" t="s">
        <v>288</v>
      </c>
      <c r="B114" s="77" t="s">
        <v>289</v>
      </c>
    </row>
    <row r="115" spans="1:2" x14ac:dyDescent="0.35">
      <c r="A115" s="75" t="s">
        <v>290</v>
      </c>
      <c r="B115" s="77" t="s">
        <v>291</v>
      </c>
    </row>
    <row r="116" spans="1:2" x14ac:dyDescent="0.35">
      <c r="A116" s="75" t="s">
        <v>292</v>
      </c>
      <c r="B116" s="77" t="s">
        <v>293</v>
      </c>
    </row>
    <row r="117" spans="1:2" x14ac:dyDescent="0.35">
      <c r="A117" s="75" t="s">
        <v>294</v>
      </c>
      <c r="B117" s="77" t="s">
        <v>295</v>
      </c>
    </row>
    <row r="118" spans="1:2" x14ac:dyDescent="0.35">
      <c r="A118" s="75" t="s">
        <v>296</v>
      </c>
      <c r="B118" s="77" t="s">
        <v>297</v>
      </c>
    </row>
    <row r="119" spans="1:2" x14ac:dyDescent="0.35">
      <c r="A119" s="75" t="s">
        <v>298</v>
      </c>
      <c r="B119" s="77" t="s">
        <v>299</v>
      </c>
    </row>
    <row r="120" spans="1:2" x14ac:dyDescent="0.35">
      <c r="A120" s="75" t="s">
        <v>300</v>
      </c>
      <c r="B120" s="77" t="s">
        <v>301</v>
      </c>
    </row>
    <row r="121" spans="1:2" x14ac:dyDescent="0.35">
      <c r="A121" s="75" t="s">
        <v>302</v>
      </c>
      <c r="B121" s="77" t="s">
        <v>303</v>
      </c>
    </row>
    <row r="122" spans="1:2" x14ac:dyDescent="0.35">
      <c r="A122" s="75" t="s">
        <v>304</v>
      </c>
      <c r="B122" s="77" t="s">
        <v>305</v>
      </c>
    </row>
    <row r="123" spans="1:2" x14ac:dyDescent="0.35">
      <c r="A123" s="75" t="s">
        <v>306</v>
      </c>
      <c r="B123" s="77" t="s">
        <v>307</v>
      </c>
    </row>
    <row r="124" spans="1:2" x14ac:dyDescent="0.35">
      <c r="A124" s="75" t="s">
        <v>308</v>
      </c>
      <c r="B124" s="77" t="s">
        <v>309</v>
      </c>
    </row>
    <row r="125" spans="1:2" x14ac:dyDescent="0.35">
      <c r="A125" s="75" t="s">
        <v>310</v>
      </c>
      <c r="B125" s="77" t="s">
        <v>311</v>
      </c>
    </row>
    <row r="126" spans="1:2" x14ac:dyDescent="0.35">
      <c r="A126" s="75" t="s">
        <v>312</v>
      </c>
      <c r="B126" s="77" t="s">
        <v>313</v>
      </c>
    </row>
    <row r="127" spans="1:2" x14ac:dyDescent="0.35">
      <c r="A127" s="75" t="s">
        <v>314</v>
      </c>
      <c r="B127" s="77" t="s">
        <v>315</v>
      </c>
    </row>
    <row r="128" spans="1:2" x14ac:dyDescent="0.35">
      <c r="A128" s="75" t="s">
        <v>316</v>
      </c>
      <c r="B128" s="77" t="s">
        <v>317</v>
      </c>
    </row>
    <row r="129" spans="1:2" x14ac:dyDescent="0.35">
      <c r="A129" s="75" t="s">
        <v>318</v>
      </c>
      <c r="B129" s="77" t="s">
        <v>319</v>
      </c>
    </row>
    <row r="130" spans="1:2" x14ac:dyDescent="0.35">
      <c r="A130" s="75" t="s">
        <v>320</v>
      </c>
      <c r="B130" s="77" t="s">
        <v>321</v>
      </c>
    </row>
    <row r="131" spans="1:2" x14ac:dyDescent="0.35">
      <c r="A131" s="75" t="s">
        <v>322</v>
      </c>
      <c r="B131" s="77" t="s">
        <v>323</v>
      </c>
    </row>
    <row r="132" spans="1:2" x14ac:dyDescent="0.35">
      <c r="A132" s="75" t="s">
        <v>324</v>
      </c>
      <c r="B132" s="77" t="s">
        <v>325</v>
      </c>
    </row>
    <row r="133" spans="1:2" x14ac:dyDescent="0.35">
      <c r="A133" s="75" t="s">
        <v>326</v>
      </c>
      <c r="B133" s="77" t="s">
        <v>327</v>
      </c>
    </row>
    <row r="134" spans="1:2" x14ac:dyDescent="0.35">
      <c r="A134" s="75" t="s">
        <v>328</v>
      </c>
      <c r="B134" s="77" t="s">
        <v>329</v>
      </c>
    </row>
    <row r="135" spans="1:2" x14ac:dyDescent="0.35">
      <c r="A135" s="75" t="s">
        <v>330</v>
      </c>
      <c r="B135" s="77" t="s">
        <v>331</v>
      </c>
    </row>
    <row r="136" spans="1:2" x14ac:dyDescent="0.35">
      <c r="A136" s="75" t="s">
        <v>332</v>
      </c>
      <c r="B136" s="77" t="s">
        <v>333</v>
      </c>
    </row>
    <row r="137" spans="1:2" x14ac:dyDescent="0.35">
      <c r="A137" s="75" t="s">
        <v>334</v>
      </c>
      <c r="B137" s="77" t="s">
        <v>335</v>
      </c>
    </row>
    <row r="138" spans="1:2" x14ac:dyDescent="0.35">
      <c r="A138" s="75" t="s">
        <v>336</v>
      </c>
      <c r="B138" s="77" t="s">
        <v>337</v>
      </c>
    </row>
    <row r="139" spans="1:2" x14ac:dyDescent="0.35">
      <c r="A139" s="75" t="s">
        <v>338</v>
      </c>
      <c r="B139" s="77" t="s">
        <v>339</v>
      </c>
    </row>
    <row r="140" spans="1:2" x14ac:dyDescent="0.35">
      <c r="A140" s="75" t="s">
        <v>340</v>
      </c>
      <c r="B140" s="77" t="s">
        <v>341</v>
      </c>
    </row>
    <row r="141" spans="1:2" x14ac:dyDescent="0.35">
      <c r="A141" s="75" t="s">
        <v>342</v>
      </c>
      <c r="B141" s="77" t="s">
        <v>343</v>
      </c>
    </row>
    <row r="142" spans="1:2" x14ac:dyDescent="0.35">
      <c r="A142" s="75" t="s">
        <v>344</v>
      </c>
      <c r="B142" s="77" t="s">
        <v>345</v>
      </c>
    </row>
    <row r="143" spans="1:2" x14ac:dyDescent="0.35">
      <c r="A143" s="75" t="s">
        <v>346</v>
      </c>
      <c r="B143" s="77" t="s">
        <v>347</v>
      </c>
    </row>
    <row r="144" spans="1:2" x14ac:dyDescent="0.35">
      <c r="A144" s="75" t="s">
        <v>348</v>
      </c>
      <c r="B144" s="78" t="s">
        <v>349</v>
      </c>
    </row>
    <row r="145" spans="1:2" x14ac:dyDescent="0.35">
      <c r="A145" s="75" t="s">
        <v>350</v>
      </c>
      <c r="B145" s="77" t="s">
        <v>351</v>
      </c>
    </row>
    <row r="146" spans="1:2" x14ac:dyDescent="0.35">
      <c r="A146" s="75" t="s">
        <v>352</v>
      </c>
      <c r="B146" s="77" t="s">
        <v>353</v>
      </c>
    </row>
    <row r="147" spans="1:2" x14ac:dyDescent="0.35">
      <c r="A147" s="75" t="s">
        <v>354</v>
      </c>
      <c r="B147" s="77" t="s">
        <v>355</v>
      </c>
    </row>
    <row r="148" spans="1:2" x14ac:dyDescent="0.35">
      <c r="A148" s="75" t="s">
        <v>356</v>
      </c>
      <c r="B148" s="77" t="s">
        <v>357</v>
      </c>
    </row>
    <row r="149" spans="1:2" x14ac:dyDescent="0.35">
      <c r="A149" s="75" t="s">
        <v>358</v>
      </c>
      <c r="B149" s="77" t="s">
        <v>359</v>
      </c>
    </row>
    <row r="150" spans="1:2" x14ac:dyDescent="0.35">
      <c r="A150" s="75" t="s">
        <v>360</v>
      </c>
      <c r="B150" s="77" t="s">
        <v>361</v>
      </c>
    </row>
    <row r="151" spans="1:2" x14ac:dyDescent="0.35">
      <c r="A151" s="75" t="s">
        <v>362</v>
      </c>
      <c r="B151" s="77" t="s">
        <v>363</v>
      </c>
    </row>
    <row r="152" spans="1:2" x14ac:dyDescent="0.35">
      <c r="A152" s="75" t="s">
        <v>364</v>
      </c>
      <c r="B152" s="77" t="s">
        <v>365</v>
      </c>
    </row>
    <row r="153" spans="1:2" x14ac:dyDescent="0.35">
      <c r="A153" s="75" t="s">
        <v>366</v>
      </c>
      <c r="B153" s="77" t="s">
        <v>367</v>
      </c>
    </row>
    <row r="154" spans="1:2" x14ac:dyDescent="0.35">
      <c r="A154" s="75" t="s">
        <v>368</v>
      </c>
      <c r="B154" s="77" t="s">
        <v>369</v>
      </c>
    </row>
    <row r="155" spans="1:2" x14ac:dyDescent="0.35">
      <c r="A155" s="75" t="s">
        <v>370</v>
      </c>
      <c r="B155" s="77" t="s">
        <v>371</v>
      </c>
    </row>
    <row r="156" spans="1:2" x14ac:dyDescent="0.35">
      <c r="A156" s="75" t="s">
        <v>372</v>
      </c>
      <c r="B156" s="77" t="s">
        <v>373</v>
      </c>
    </row>
    <row r="157" spans="1:2" x14ac:dyDescent="0.35">
      <c r="A157" s="75" t="s">
        <v>374</v>
      </c>
      <c r="B157" s="77" t="s">
        <v>375</v>
      </c>
    </row>
    <row r="158" spans="1:2" x14ac:dyDescent="0.35">
      <c r="A158" s="75" t="s">
        <v>376</v>
      </c>
      <c r="B158" s="77" t="s">
        <v>377</v>
      </c>
    </row>
    <row r="159" spans="1:2" x14ac:dyDescent="0.35">
      <c r="A159" s="75" t="s">
        <v>378</v>
      </c>
      <c r="B159" s="77" t="s">
        <v>379</v>
      </c>
    </row>
    <row r="160" spans="1:2" x14ac:dyDescent="0.35">
      <c r="A160" s="75" t="s">
        <v>380</v>
      </c>
      <c r="B160" s="77" t="s">
        <v>381</v>
      </c>
    </row>
    <row r="161" spans="1:2" x14ac:dyDescent="0.35">
      <c r="A161" s="75" t="s">
        <v>382</v>
      </c>
      <c r="B161" s="77" t="s">
        <v>383</v>
      </c>
    </row>
    <row r="162" spans="1:2" x14ac:dyDescent="0.35">
      <c r="A162" s="75" t="s">
        <v>384</v>
      </c>
      <c r="B162" s="77" t="s">
        <v>385</v>
      </c>
    </row>
    <row r="163" spans="1:2" x14ac:dyDescent="0.35">
      <c r="A163" s="75" t="s">
        <v>386</v>
      </c>
      <c r="B163" s="77" t="s">
        <v>387</v>
      </c>
    </row>
    <row r="164" spans="1:2" x14ac:dyDescent="0.35">
      <c r="A164" s="75" t="s">
        <v>388</v>
      </c>
      <c r="B164" s="77" t="s">
        <v>389</v>
      </c>
    </row>
    <row r="165" spans="1:2" x14ac:dyDescent="0.35">
      <c r="A165" s="75" t="s">
        <v>390</v>
      </c>
      <c r="B165" s="77" t="s">
        <v>391</v>
      </c>
    </row>
    <row r="166" spans="1:2" x14ac:dyDescent="0.35">
      <c r="A166" s="75" t="s">
        <v>392</v>
      </c>
      <c r="B166" s="77" t="s">
        <v>393</v>
      </c>
    </row>
    <row r="167" spans="1:2" x14ac:dyDescent="0.35">
      <c r="A167" s="75" t="s">
        <v>394</v>
      </c>
      <c r="B167" s="77" t="s">
        <v>395</v>
      </c>
    </row>
    <row r="168" spans="1:2" x14ac:dyDescent="0.35">
      <c r="A168" s="75" t="s">
        <v>396</v>
      </c>
      <c r="B168" s="77" t="s">
        <v>397</v>
      </c>
    </row>
    <row r="169" spans="1:2" x14ac:dyDescent="0.35">
      <c r="A169" s="75" t="s">
        <v>398</v>
      </c>
      <c r="B169" s="77" t="s">
        <v>399</v>
      </c>
    </row>
    <row r="170" spans="1:2" x14ac:dyDescent="0.35">
      <c r="A170" s="75" t="s">
        <v>400</v>
      </c>
      <c r="B170" s="77" t="s">
        <v>401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Oumar Diallo</cp:lastModifiedBy>
  <cp:lastPrinted>2017-12-11T22:51:21Z</cp:lastPrinted>
  <dcterms:created xsi:type="dcterms:W3CDTF">2017-11-15T21:17:43Z</dcterms:created>
  <dcterms:modified xsi:type="dcterms:W3CDTF">2021-11-13T10:32:00Z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