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225"/>
  <workbookPr defaultThemeVersion="166925"/>
  <mc:AlternateContent xmlns:mc="http://schemas.openxmlformats.org/markup-compatibility/2006">
    <mc:Choice Requires="x15">
      <x15ac:absPath xmlns:x15ac="http://schemas.microsoft.com/office/spreadsheetml/2010/11/ac" url="C:\Users\ICT_PROVIDER\Desktop\Rapport PBF 2022\"/>
    </mc:Choice>
  </mc:AlternateContent>
  <xr:revisionPtr revIDLastSave="0" documentId="13_ncr:1_{76FEF052-F695-4BD8-91A4-A82790FE09BA}" xr6:coauthVersionLast="47" xr6:coauthVersionMax="47" xr10:uidLastSave="{00000000-0000-0000-0000-000000000000}"/>
  <bookViews>
    <workbookView xWindow="-120" yWindow="-120" windowWidth="20730" windowHeight="11160" tabRatio="698" firstSheet="4" activeTab="4" xr2:uid="{00000000-000D-0000-FFFF-FFFF00000000}"/>
  </bookViews>
  <sheets>
    <sheet name="coûts unitaires" sheetId="11" state="hidden" r:id="rId1"/>
    <sheet name="Répartition_Final" sheetId="14" state="hidden" r:id="rId2"/>
    <sheet name="PTA Initial OBS" sheetId="16" state="hidden" r:id="rId3"/>
    <sheet name="1) RF par produit" sheetId="1" r:id="rId4"/>
    <sheet name="2) RF par categorie budgetaire" sheetId="5" r:id="rId5"/>
    <sheet name="3) Pour utilisation par MPTFO" sheetId="15" r:id="rId6"/>
    <sheet name="Dropdowns" sheetId="8" state="hidden" r:id="rId7"/>
    <sheet name="Sheet2" sheetId="7" state="hidden" r:id="rId8"/>
  </sheets>
  <externalReferences>
    <externalReference r:id="rId9"/>
    <externalReference r:id="rId10"/>
  </externalReferences>
  <definedNames>
    <definedName name="_xlnm._FilterDatabase" localSheetId="2" hidden="1">'PTA Initial OBS'!$A$1:$P$135</definedName>
    <definedName name="_ftn1" localSheetId="1">Répartition_Final!$B$90</definedName>
    <definedName name="_ftn2" localSheetId="1">Répartition_Final!$B$91</definedName>
    <definedName name="_ftnref1" localSheetId="1">Répartition_Final!#REF!</definedName>
    <definedName name="_ftnref2" localSheetId="1">Répartition_Final!$B$56</definedName>
    <definedName name="_ftnref3" localSheetId="1">Répartition_Final!$B$47</definedName>
    <definedName name="A111P" localSheetId="1">Répartition_Final!#REF!</definedName>
    <definedName name="A111P">#REF!</definedName>
    <definedName name="A111R" localSheetId="1">Répartition_Final!#REF!</definedName>
    <definedName name="A111R">#REF!</definedName>
    <definedName name="A112P" localSheetId="1">Répartition_Final!#REF!</definedName>
    <definedName name="A112P">#REF!</definedName>
    <definedName name="A112R" localSheetId="1">Répartition_Final!#REF!</definedName>
    <definedName name="A112R">#REF!</definedName>
    <definedName name="A113P" localSheetId="1">Répartition_Final!#REF!</definedName>
    <definedName name="A113P">#REF!</definedName>
    <definedName name="A113R" localSheetId="1">Répartition_Final!#REF!</definedName>
    <definedName name="A113R">#REF!</definedName>
    <definedName name="A121P" localSheetId="1">Répartition_Final!#REF!</definedName>
    <definedName name="A121P">#REF!</definedName>
    <definedName name="A121R" localSheetId="1">Répartition_Final!#REF!</definedName>
    <definedName name="A121R">#REF!</definedName>
    <definedName name="A122P" localSheetId="1">Répartition_Final!#REF!</definedName>
    <definedName name="A122P">#REF!</definedName>
    <definedName name="A122R" localSheetId="1">Répartition_Final!#REF!</definedName>
    <definedName name="A122R">#REF!</definedName>
    <definedName name="A211P" localSheetId="1">Répartition_Final!#REF!</definedName>
    <definedName name="A211P">#REF!</definedName>
    <definedName name="A211R" localSheetId="1">Répartition_Final!#REF!</definedName>
    <definedName name="A211R">#REF!</definedName>
    <definedName name="A212P" localSheetId="1">Répartition_Final!#REF!</definedName>
    <definedName name="A212P">#REF!</definedName>
    <definedName name="A212R" localSheetId="1">Répartition_Final!#REF!</definedName>
    <definedName name="A212R">#REF!</definedName>
    <definedName name="A221P" localSheetId="1">Répartition_Final!#REF!</definedName>
    <definedName name="A221P">#REF!</definedName>
    <definedName name="A221R" localSheetId="1">Répartition_Final!#REF!</definedName>
    <definedName name="A221R">#REF!</definedName>
    <definedName name="A222P" localSheetId="1">Répartition_Final!#REF!</definedName>
    <definedName name="A222P">#REF!</definedName>
    <definedName name="A222R" localSheetId="1">Répartition_Final!#REF!</definedName>
    <definedName name="A222R">#REF!</definedName>
    <definedName name="A223P" localSheetId="1">Répartition_Final!#REF!</definedName>
    <definedName name="A223P">#REF!</definedName>
    <definedName name="A223R" localSheetId="1">Répartition_Final!#REF!</definedName>
    <definedName name="A223R">#REF!</definedName>
    <definedName name="A311P" localSheetId="1">Répartition_Final!#REF!</definedName>
    <definedName name="A311P">#REF!</definedName>
    <definedName name="A311R" localSheetId="1">Répartition_Final!#REF!</definedName>
    <definedName name="A311R">#REF!</definedName>
    <definedName name="A312P" localSheetId="1">Répartition_Final!#REF!</definedName>
    <definedName name="A312P">#REF!</definedName>
    <definedName name="A312R" localSheetId="1">Répartition_Final!#REF!</definedName>
    <definedName name="A312R">#REF!</definedName>
    <definedName name="A313P" localSheetId="1">Répartition_Final!#REF!</definedName>
    <definedName name="A313P">#REF!</definedName>
    <definedName name="A313R" localSheetId="1">Répartition_Final!#REF!</definedName>
    <definedName name="A313R">#REF!</definedName>
    <definedName name="A314P" localSheetId="1">Répartition_Final!#REF!</definedName>
    <definedName name="A314P">#REF!</definedName>
    <definedName name="A314R" localSheetId="1">Répartition_Final!#REF!</definedName>
    <definedName name="A314R">#REF!</definedName>
    <definedName name="A321P" localSheetId="1">Répartition_Final!#REF!</definedName>
    <definedName name="A321P">#REF!</definedName>
    <definedName name="A321R" localSheetId="1">Répartition_Final!#REF!</definedName>
    <definedName name="A321R">#REF!</definedName>
    <definedName name="A322P" localSheetId="1">Répartition_Final!#REF!</definedName>
    <definedName name="A322P">#REF!</definedName>
    <definedName name="A322R" localSheetId="1">Répartition_Final!#REF!</definedName>
    <definedName name="A322R">#REF!</definedName>
    <definedName name="A323P" localSheetId="1">Répartition_Final!#REF!</definedName>
    <definedName name="A323P">#REF!</definedName>
    <definedName name="A323R" localSheetId="1">Répartition_Final!#REF!</definedName>
    <definedName name="A323R">#REF!</definedName>
    <definedName name="A331P" localSheetId="1">Répartition_Final!#REF!</definedName>
    <definedName name="A331P">#REF!</definedName>
    <definedName name="affichegdnb">'coûts unitaires'!$B$20</definedName>
    <definedName name="annonceradio">'coûts unitaires'!$B$6</definedName>
    <definedName name="appelindemn">'coûts unitaires'!$B$59</definedName>
    <definedName name="applicform">'coûts unitaires'!$B$63</definedName>
    <definedName name="boost">'coûts unitaires'!$B$7</definedName>
    <definedName name="change">'coûts unitaires'!$B$1</definedName>
    <definedName name="connexapprenants">'coûts unitaires'!$B$51</definedName>
    <definedName name="delairoute">'coûts unitaires'!$B$71</definedName>
    <definedName name="depladist">'coûts unitaires'!$B$46</definedName>
    <definedName name="deplanat">'coûts unitaires'!$B$33</definedName>
    <definedName name="deplareg">'coûts unitaires'!$B$40</definedName>
    <definedName name="depliantgdnb">'coûts unitaires'!$B$21</definedName>
    <definedName name="doccoul">'coûts unitaires'!$B$18</definedName>
    <definedName name="docnb">'coûts unitaires'!$B$19</definedName>
    <definedName name="formindemn">'coûts unitaires'!$B$24</definedName>
    <definedName name="formindemnobs">'coûts unitaires'!$B$24</definedName>
    <definedName name="fournituresatelier">'coûts unitaires'!$B$3</definedName>
    <definedName name="goodies">'coûts unitaires'!$B$17</definedName>
    <definedName name="infographiste">'coûts unitaires'!$B$14</definedName>
    <definedName name="juristes">'coûts unitaires'!$B$66</definedName>
    <definedName name="numeroverts">'coûts unitaires'!$B$57</definedName>
    <definedName name="obsformindemn">'coûts unitaires'!$B$25</definedName>
    <definedName name="OBSindemn">'coûts unitaires'!$B$56</definedName>
    <definedName name="P11A1" localSheetId="1">Répartition_Final!#REF!</definedName>
    <definedName name="P11A1">#REF!</definedName>
    <definedName name="perdiemdist">'coûts unitaires'!$B$47</definedName>
    <definedName name="perdiemnat">'coûts unitaires'!$B$34</definedName>
    <definedName name="perdiemreg">'coûts unitaires'!$B$41</definedName>
    <definedName name="Personnel" localSheetId="1">Répartition_Final!$F$93</definedName>
    <definedName name="Personnel">#REF!</definedName>
    <definedName name="photodessin">'coûts unitaires'!$B$16</definedName>
    <definedName name="Produit11" localSheetId="1">Répartition_Final!#REF!</definedName>
    <definedName name="Produit11">#REF!</definedName>
    <definedName name="Produit12" localSheetId="1">Répartition_Final!#REF!</definedName>
    <definedName name="Produit12">#REF!</definedName>
    <definedName name="Produit21" localSheetId="1">Répartition_Final!#REF!</definedName>
    <definedName name="Produit21">#REF!</definedName>
    <definedName name="Produit22" localSheetId="1">Répartition_Final!#REF!</definedName>
    <definedName name="Produit22">#REF!</definedName>
    <definedName name="Produit31" localSheetId="1">Répartition_Final!#REF!</definedName>
    <definedName name="Produit31">#REF!</definedName>
    <definedName name="Produit32" localSheetId="1">Répartition_Final!#REF!</definedName>
    <definedName name="Produit32">#REF!</definedName>
    <definedName name="radioreportprod">'coûts unitaires'!$B$10</definedName>
    <definedName name="reportprod">'coûts unitaires'!$B$10</definedName>
    <definedName name="restodist">'coûts unitaires'!$B$45</definedName>
    <definedName name="restonat">'coûts unitaires'!$B$32</definedName>
    <definedName name="restoreg">'coûts unitaires'!$B$39</definedName>
    <definedName name="Resultat1" localSheetId="1">Répartition_Final!#REF!</definedName>
    <definedName name="Resultat1">#REF!</definedName>
    <definedName name="Resultat2" localSheetId="1">Répartition_Final!#REF!</definedName>
    <definedName name="Resultat2">#REF!</definedName>
    <definedName name="Resultat3" localSheetId="1">Répartition_Final!#REF!</definedName>
    <definedName name="Resultat3">#REF!</definedName>
    <definedName name="RSOCindemn">'coûts unitaires'!$B$55</definedName>
    <definedName name="RSOFindemn">'coûts unitaires'!$B$55</definedName>
    <definedName name="salle">'coûts unitaires'!$B$35</definedName>
    <definedName name="sallenat">'coûts unitaires'!$B$35</definedName>
    <definedName name="sallereg">'coûts unitaires'!$B$42</definedName>
    <definedName name="smsOBS">'coûts unitaires'!$B$60</definedName>
    <definedName name="spot">'coûts unitaires'!$B$15</definedName>
    <definedName name="spotprod" localSheetId="1">'coûts unitaires'!#REF!</definedName>
    <definedName name="spotprod">'coûts unitaires'!#REF!</definedName>
    <definedName name="spotradiodif">'coûts unitaires'!$B$8</definedName>
    <definedName name="spottvdif">'coûts unitaires'!$B$9</definedName>
    <definedName name="tadindemn">'coûts unitaires'!$B$54</definedName>
    <definedName name="teleconseiller">'coûts unitaires'!$B$58</definedName>
    <definedName name="tvreportprod">'coûts unitaires'!$B$11</definedName>
    <definedName name="tvreportprodnat">'coûts unitaires'!$B$12</definedName>
    <definedName name="tvreportprodreg">'coûts unitaires'!$B$11</definedName>
    <definedName name="_xlnm.Print_Area" localSheetId="3">'1) RF par produit'!$A$1:$M$73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G92" i="5" l="1"/>
  <c r="G97" i="5"/>
  <c r="G95" i="5"/>
  <c r="G93" i="5" l="1"/>
  <c r="H91" i="5"/>
  <c r="G91" i="5"/>
  <c r="J98" i="5"/>
  <c r="G99" i="5" l="1"/>
  <c r="G58" i="5"/>
  <c r="G94" i="5" s="1"/>
  <c r="G36" i="5"/>
  <c r="G96" i="5" s="1"/>
  <c r="K46" i="1"/>
  <c r="J39" i="1"/>
  <c r="J24" i="1"/>
  <c r="H25" i="5"/>
  <c r="H97" i="5" s="1"/>
  <c r="H24" i="5"/>
  <c r="H96" i="5" s="1"/>
  <c r="H23" i="5"/>
  <c r="H95" i="5" s="1"/>
  <c r="H22" i="5"/>
  <c r="H94" i="5" s="1"/>
  <c r="H21" i="5"/>
  <c r="H93" i="5" s="1"/>
  <c r="H20" i="5"/>
  <c r="H92" i="5" s="1"/>
  <c r="I91" i="5" l="1"/>
  <c r="K42" i="1" l="1"/>
  <c r="K43" i="1"/>
  <c r="K41" i="1"/>
  <c r="K35" i="1"/>
  <c r="K36" i="1"/>
  <c r="K37" i="1"/>
  <c r="K38" i="1"/>
  <c r="K34" i="1"/>
  <c r="K29" i="1"/>
  <c r="K26" i="1"/>
  <c r="K23" i="1"/>
  <c r="K22" i="1"/>
  <c r="K17" i="1"/>
  <c r="K15" i="1"/>
  <c r="K12" i="1"/>
  <c r="K11" i="1"/>
  <c r="K10" i="1"/>
  <c r="K44" i="1" l="1"/>
  <c r="K39" i="1"/>
  <c r="K24" i="1"/>
  <c r="K13" i="1"/>
  <c r="I13" i="1"/>
  <c r="F117" i="5" l="1"/>
  <c r="P79" i="16" l="1"/>
  <c r="P78" i="16"/>
  <c r="P77" i="16"/>
  <c r="P44" i="16"/>
  <c r="P43" i="16"/>
  <c r="P42" i="16"/>
  <c r="P5" i="16"/>
  <c r="P4" i="16"/>
  <c r="P3" i="16"/>
  <c r="P120" i="16" l="1"/>
  <c r="P134" i="16" s="1"/>
  <c r="P121" i="16"/>
  <c r="P135" i="16" s="1"/>
  <c r="P119" i="16"/>
  <c r="P133" i="16" l="1"/>
  <c r="K28" i="1"/>
  <c r="E29" i="1"/>
  <c r="J13" i="1"/>
  <c r="J30" i="1" l="1"/>
  <c r="K27" i="1"/>
  <c r="K30" i="1" s="1"/>
  <c r="J18" i="1"/>
  <c r="K16" i="1"/>
  <c r="K18" i="1" s="1"/>
  <c r="E37" i="1"/>
  <c r="I43" i="5" l="1"/>
  <c r="I44" i="5"/>
  <c r="I45" i="5"/>
  <c r="I46" i="5"/>
  <c r="I47" i="5"/>
  <c r="I48" i="5"/>
  <c r="I42" i="5"/>
  <c r="I56" i="5"/>
  <c r="I57" i="5"/>
  <c r="I58" i="5"/>
  <c r="I59" i="5"/>
  <c r="I60" i="5"/>
  <c r="I61" i="5"/>
  <c r="I55" i="5"/>
  <c r="I32" i="5"/>
  <c r="I33" i="5"/>
  <c r="I34" i="5"/>
  <c r="I35" i="5"/>
  <c r="I36" i="5"/>
  <c r="I37" i="5"/>
  <c r="I31" i="5"/>
  <c r="H98" i="5" l="1"/>
  <c r="E77" i="5"/>
  <c r="E91" i="5" s="1"/>
  <c r="H99" i="5" l="1"/>
  <c r="I99" i="5" s="1"/>
  <c r="C117" i="5"/>
  <c r="I117" i="5" s="1"/>
  <c r="E23" i="15"/>
  <c r="D23" i="15"/>
  <c r="C23" i="15"/>
  <c r="F22" i="15"/>
  <c r="E22" i="15"/>
  <c r="D22" i="15"/>
  <c r="C22" i="15"/>
  <c r="F21" i="15"/>
  <c r="E21" i="15"/>
  <c r="D21" i="15"/>
  <c r="C21" i="15"/>
  <c r="F20" i="15"/>
  <c r="E20" i="15"/>
  <c r="D20" i="15"/>
  <c r="C20" i="15"/>
  <c r="D19" i="15"/>
  <c r="C19" i="15"/>
  <c r="D13" i="15"/>
  <c r="C13" i="15"/>
  <c r="D12" i="15"/>
  <c r="C12" i="15"/>
  <c r="D11" i="15"/>
  <c r="C11" i="15"/>
  <c r="D10" i="15"/>
  <c r="C10" i="15"/>
  <c r="D9" i="15"/>
  <c r="C9" i="15"/>
  <c r="D8" i="15"/>
  <c r="C8" i="15"/>
  <c r="D7" i="15"/>
  <c r="C7" i="15"/>
  <c r="D6" i="15"/>
  <c r="C6" i="15"/>
  <c r="I97" i="5"/>
  <c r="I92" i="5"/>
  <c r="E90" i="5"/>
  <c r="D90" i="5"/>
  <c r="I82" i="5"/>
  <c r="F82" i="5"/>
  <c r="I78" i="5"/>
  <c r="D77" i="5"/>
  <c r="D91" i="5" s="1"/>
  <c r="E76" i="5"/>
  <c r="E83" i="5" s="1"/>
  <c r="D76" i="5"/>
  <c r="H73" i="5"/>
  <c r="G73" i="5"/>
  <c r="I72" i="5"/>
  <c r="F72" i="5"/>
  <c r="I71" i="5"/>
  <c r="I70" i="5"/>
  <c r="I69" i="5"/>
  <c r="I68" i="5"/>
  <c r="F68" i="5"/>
  <c r="I67" i="5"/>
  <c r="I66" i="5"/>
  <c r="F66" i="5"/>
  <c r="H65" i="5"/>
  <c r="G65" i="5"/>
  <c r="E65" i="5"/>
  <c r="E70" i="5" s="1"/>
  <c r="D65" i="5"/>
  <c r="I62" i="5"/>
  <c r="I54" i="5" s="1"/>
  <c r="H62" i="5"/>
  <c r="H54" i="5" s="1"/>
  <c r="G62" i="5"/>
  <c r="G54" i="5" s="1"/>
  <c r="F61" i="5"/>
  <c r="F55" i="5"/>
  <c r="E54" i="5"/>
  <c r="E58" i="5" s="1"/>
  <c r="F58" i="5" s="1"/>
  <c r="D54" i="5"/>
  <c r="I49" i="5"/>
  <c r="I41" i="5" s="1"/>
  <c r="H49" i="5"/>
  <c r="G49" i="5"/>
  <c r="G41" i="5" s="1"/>
  <c r="F42" i="5"/>
  <c r="E41" i="5"/>
  <c r="E45" i="5" s="1"/>
  <c r="F45" i="5" s="1"/>
  <c r="D41" i="5"/>
  <c r="D47" i="5" s="1"/>
  <c r="I38" i="5"/>
  <c r="I30" i="5" s="1"/>
  <c r="H38" i="5"/>
  <c r="H30" i="5" s="1"/>
  <c r="G38" i="5"/>
  <c r="G30" i="5" s="1"/>
  <c r="F37" i="5"/>
  <c r="F35" i="5"/>
  <c r="F33" i="5"/>
  <c r="F32" i="5"/>
  <c r="F31" i="5"/>
  <c r="E30" i="5"/>
  <c r="E34" i="5" s="1"/>
  <c r="D30" i="5"/>
  <c r="D36" i="5" s="1"/>
  <c r="H26" i="5"/>
  <c r="I24" i="5"/>
  <c r="I23" i="5"/>
  <c r="I22" i="5"/>
  <c r="I21" i="5"/>
  <c r="I20" i="5"/>
  <c r="I19" i="5"/>
  <c r="F19" i="5"/>
  <c r="H18" i="5"/>
  <c r="E18" i="5"/>
  <c r="E21" i="5" s="1"/>
  <c r="D18" i="5"/>
  <c r="D25" i="5" s="1"/>
  <c r="H15" i="5"/>
  <c r="I13" i="5"/>
  <c r="I12" i="5"/>
  <c r="I11" i="5"/>
  <c r="I10" i="5"/>
  <c r="I9" i="5"/>
  <c r="I8" i="5"/>
  <c r="F8" i="5"/>
  <c r="E7" i="5"/>
  <c r="E9" i="5" s="1"/>
  <c r="D7" i="5"/>
  <c r="D9" i="5" s="1"/>
  <c r="E4" i="5"/>
  <c r="D4" i="5"/>
  <c r="K55" i="1"/>
  <c r="J55" i="1"/>
  <c r="I55" i="1"/>
  <c r="K49" i="1"/>
  <c r="K48" i="1"/>
  <c r="K47" i="1"/>
  <c r="J50" i="1"/>
  <c r="J56" i="1" s="1"/>
  <c r="I50" i="1"/>
  <c r="E10" i="15" l="1"/>
  <c r="D60" i="5"/>
  <c r="F60" i="5" s="1"/>
  <c r="D57" i="5"/>
  <c r="D69" i="5"/>
  <c r="D67" i="5"/>
  <c r="D92" i="5" s="1"/>
  <c r="D71" i="5"/>
  <c r="D70" i="5"/>
  <c r="J57" i="1"/>
  <c r="K57" i="1" s="1"/>
  <c r="H41" i="5"/>
  <c r="H7" i="5"/>
  <c r="E7" i="15"/>
  <c r="E9" i="15"/>
  <c r="E13" i="15"/>
  <c r="H100" i="5"/>
  <c r="E12" i="15"/>
  <c r="H84" i="5"/>
  <c r="I83" i="5"/>
  <c r="D14" i="15"/>
  <c r="E11" i="15"/>
  <c r="E8" i="15"/>
  <c r="I77" i="5"/>
  <c r="D83" i="5"/>
  <c r="E81" i="5"/>
  <c r="F77" i="5"/>
  <c r="D23" i="5"/>
  <c r="E11" i="5"/>
  <c r="E23" i="5"/>
  <c r="F18" i="5"/>
  <c r="E22" i="5"/>
  <c r="F22" i="5" s="1"/>
  <c r="E47" i="5"/>
  <c r="E96" i="5" s="1"/>
  <c r="D21" i="5"/>
  <c r="F21" i="5" s="1"/>
  <c r="I73" i="5"/>
  <c r="I65" i="5" s="1"/>
  <c r="E10" i="5"/>
  <c r="F10" i="5" s="1"/>
  <c r="D24" i="5"/>
  <c r="F24" i="5" s="1"/>
  <c r="C14" i="15"/>
  <c r="F9" i="5"/>
  <c r="F25" i="5"/>
  <c r="F36" i="5"/>
  <c r="D38" i="5"/>
  <c r="D49" i="5"/>
  <c r="F34" i="5"/>
  <c r="E38" i="5"/>
  <c r="D14" i="5"/>
  <c r="F14" i="5" s="1"/>
  <c r="E46" i="5"/>
  <c r="F46" i="5" s="1"/>
  <c r="E59" i="5"/>
  <c r="F59" i="5" s="1"/>
  <c r="F7" i="5"/>
  <c r="D13" i="5"/>
  <c r="F13" i="5" s="1"/>
  <c r="E20" i="5"/>
  <c r="F41" i="5"/>
  <c r="E48" i="5"/>
  <c r="E97" i="5" s="1"/>
  <c r="F54" i="5"/>
  <c r="F65" i="5"/>
  <c r="D79" i="5"/>
  <c r="D80" i="5"/>
  <c r="D81" i="5"/>
  <c r="F91" i="5"/>
  <c r="F30" i="5"/>
  <c r="E44" i="5"/>
  <c r="E67" i="5"/>
  <c r="D11" i="5"/>
  <c r="D12" i="5"/>
  <c r="F12" i="5" s="1"/>
  <c r="E43" i="5"/>
  <c r="E56" i="5"/>
  <c r="E69" i="5"/>
  <c r="F76" i="5"/>
  <c r="E78" i="5"/>
  <c r="F78" i="5" s="1"/>
  <c r="E79" i="5"/>
  <c r="E80" i="5"/>
  <c r="K50" i="1"/>
  <c r="G26" i="5" l="1"/>
  <c r="G18" i="5" s="1"/>
  <c r="I25" i="5"/>
  <c r="I26" i="5" s="1"/>
  <c r="I18" i="5" s="1"/>
  <c r="I14" i="5"/>
  <c r="I15" i="5" s="1"/>
  <c r="I7" i="5" s="1"/>
  <c r="G15" i="5"/>
  <c r="G7" i="5" s="1"/>
  <c r="E93" i="5"/>
  <c r="E94" i="5"/>
  <c r="D96" i="5"/>
  <c r="F96" i="5" s="1"/>
  <c r="F67" i="5"/>
  <c r="E92" i="5"/>
  <c r="F92" i="5" s="1"/>
  <c r="D94" i="5"/>
  <c r="E95" i="5"/>
  <c r="D95" i="5"/>
  <c r="D93" i="5"/>
  <c r="D97" i="5"/>
  <c r="J58" i="1"/>
  <c r="D15" i="15"/>
  <c r="D16" i="15" s="1"/>
  <c r="H76" i="5"/>
  <c r="F83" i="5"/>
  <c r="F81" i="5"/>
  <c r="F11" i="5"/>
  <c r="F47" i="5"/>
  <c r="F38" i="5"/>
  <c r="E15" i="5"/>
  <c r="D26" i="5"/>
  <c r="F23" i="5"/>
  <c r="E14" i="15"/>
  <c r="C15" i="15"/>
  <c r="C16" i="15" s="1"/>
  <c r="E49" i="5"/>
  <c r="F49" i="5" s="1"/>
  <c r="F43" i="5"/>
  <c r="D62" i="5"/>
  <c r="F57" i="5"/>
  <c r="E73" i="5"/>
  <c r="F71" i="5"/>
  <c r="E26" i="5"/>
  <c r="F20" i="5"/>
  <c r="F70" i="5"/>
  <c r="F44" i="5"/>
  <c r="F80" i="5"/>
  <c r="F69" i="5"/>
  <c r="D15" i="5"/>
  <c r="D73" i="5"/>
  <c r="F48" i="5"/>
  <c r="E62" i="5"/>
  <c r="F56" i="5"/>
  <c r="E84" i="5"/>
  <c r="D84" i="5"/>
  <c r="F79" i="5"/>
  <c r="F26" i="5" l="1"/>
  <c r="I96" i="5"/>
  <c r="F95" i="5"/>
  <c r="F97" i="5"/>
  <c r="F15" i="5"/>
  <c r="F94" i="5"/>
  <c r="E15" i="15"/>
  <c r="E16" i="15" s="1"/>
  <c r="F73" i="5"/>
  <c r="E98" i="5"/>
  <c r="F93" i="5"/>
  <c r="D98" i="5"/>
  <c r="F84" i="5"/>
  <c r="F62" i="5"/>
  <c r="D106" i="5" l="1"/>
  <c r="D107" i="5"/>
  <c r="G118" i="5" s="1"/>
  <c r="D99" i="5"/>
  <c r="D100" i="5" s="1"/>
  <c r="C112" i="5" s="1"/>
  <c r="C118" i="5" s="1"/>
  <c r="F98" i="5"/>
  <c r="E99" i="5"/>
  <c r="E100" i="5" s="1"/>
  <c r="C107" i="5" s="1"/>
  <c r="G117" i="5" l="1"/>
  <c r="F106" i="5"/>
  <c r="F107" i="5"/>
  <c r="F118" i="5"/>
  <c r="F99" i="5"/>
  <c r="F100" i="5" s="1"/>
  <c r="E107" i="5" l="1"/>
  <c r="I118" i="5" s="1"/>
  <c r="E106" i="5"/>
  <c r="H118" i="5" l="1"/>
  <c r="H117" i="5"/>
  <c r="F89" i="14" l="1"/>
  <c r="E90" i="14" l="1"/>
  <c r="D37" i="1" l="1"/>
  <c r="D72" i="14" l="1"/>
  <c r="E70" i="14"/>
  <c r="D29" i="1"/>
  <c r="F54" i="14"/>
  <c r="D57" i="14"/>
  <c r="D56" i="14"/>
  <c r="E17" i="1"/>
  <c r="D17" i="1"/>
  <c r="F26" i="14"/>
  <c r="F61" i="14" l="1"/>
  <c r="F70" i="14"/>
  <c r="F74" i="14"/>
  <c r="F80" i="14"/>
  <c r="F51" i="14"/>
  <c r="F45" i="14"/>
  <c r="F39" i="14"/>
  <c r="F34" i="14"/>
  <c r="F18" i="14"/>
  <c r="F13" i="14"/>
  <c r="F7" i="14"/>
  <c r="F6" i="14"/>
  <c r="F8" i="14"/>
  <c r="E43" i="1" l="1"/>
  <c r="E42" i="1"/>
  <c r="E85" i="14"/>
  <c r="D85" i="14" s="1"/>
  <c r="D91" i="14"/>
  <c r="D92" i="14"/>
  <c r="E81" i="14"/>
  <c r="D89" i="14"/>
  <c r="E10" i="14"/>
  <c r="E28" i="14"/>
  <c r="E26" i="14" s="1"/>
  <c r="E24" i="14"/>
  <c r="E41" i="14"/>
  <c r="E83" i="14"/>
  <c r="F44" i="14"/>
  <c r="E26" i="1" l="1"/>
  <c r="F79" i="14"/>
  <c r="E41" i="1" l="1"/>
  <c r="F78" i="14"/>
  <c r="D83" i="14"/>
  <c r="F90" i="14" l="1"/>
  <c r="D90" i="14" s="1"/>
  <c r="I103" i="14"/>
  <c r="E79" i="14"/>
  <c r="E78" i="14" s="1"/>
  <c r="F73" i="14"/>
  <c r="E38" i="1" s="1"/>
  <c r="E73" i="14"/>
  <c r="D38" i="1" s="1"/>
  <c r="F69" i="14"/>
  <c r="E36" i="1" s="1"/>
  <c r="E69" i="14"/>
  <c r="F65" i="14"/>
  <c r="E35" i="1" s="1"/>
  <c r="E65" i="14"/>
  <c r="F60" i="14"/>
  <c r="E60" i="14"/>
  <c r="F5" i="14"/>
  <c r="E10" i="1" s="1"/>
  <c r="F12" i="14"/>
  <c r="E11" i="1" s="1"/>
  <c r="F17" i="14"/>
  <c r="E12" i="1" s="1"/>
  <c r="F21" i="14"/>
  <c r="E16" i="1"/>
  <c r="F33" i="14"/>
  <c r="E22" i="1" s="1"/>
  <c r="F38" i="14"/>
  <c r="E54" i="14"/>
  <c r="D28" i="1" s="1"/>
  <c r="E28" i="1"/>
  <c r="F50" i="14"/>
  <c r="E50" i="14"/>
  <c r="E44" i="14"/>
  <c r="E38" i="14"/>
  <c r="E33" i="14"/>
  <c r="E21" i="14"/>
  <c r="E20" i="14" s="1"/>
  <c r="E17" i="14"/>
  <c r="D12" i="1" s="1"/>
  <c r="E12" i="14"/>
  <c r="D11" i="1" s="1"/>
  <c r="E5" i="14"/>
  <c r="D10" i="1" s="1"/>
  <c r="E43" i="14" l="1"/>
  <c r="E59" i="14"/>
  <c r="F59" i="14"/>
  <c r="F58" i="14" s="1"/>
  <c r="E27" i="1"/>
  <c r="F43" i="14"/>
  <c r="E15" i="1"/>
  <c r="F20" i="14"/>
  <c r="D16" i="1"/>
  <c r="E4" i="14"/>
  <c r="E3" i="14" s="1"/>
  <c r="E34" i="1"/>
  <c r="F32" i="14"/>
  <c r="E23" i="1"/>
  <c r="F4" i="14"/>
  <c r="E32" i="14"/>
  <c r="E49" i="1"/>
  <c r="D49" i="1"/>
  <c r="E48" i="1"/>
  <c r="D48" i="1"/>
  <c r="E47" i="1"/>
  <c r="D47" i="1"/>
  <c r="E46" i="1"/>
  <c r="D46" i="1"/>
  <c r="D42" i="1"/>
  <c r="D41" i="1"/>
  <c r="D36" i="1"/>
  <c r="D34" i="1"/>
  <c r="D27" i="1"/>
  <c r="D26" i="1"/>
  <c r="D22" i="1"/>
  <c r="D23" i="1"/>
  <c r="D6" i="14"/>
  <c r="D7" i="14"/>
  <c r="D8" i="14"/>
  <c r="D9" i="14"/>
  <c r="D10" i="14"/>
  <c r="D11" i="14"/>
  <c r="D13" i="14"/>
  <c r="D14" i="14"/>
  <c r="D15" i="14"/>
  <c r="D16" i="14"/>
  <c r="D18" i="14"/>
  <c r="D19" i="14"/>
  <c r="D22" i="14"/>
  <c r="D23" i="14"/>
  <c r="D24" i="14"/>
  <c r="D27" i="14"/>
  <c r="D28" i="14"/>
  <c r="D29" i="14"/>
  <c r="D30" i="14"/>
  <c r="D34" i="14"/>
  <c r="D35" i="14"/>
  <c r="D36" i="14"/>
  <c r="D37" i="14"/>
  <c r="D39" i="14"/>
  <c r="D40" i="14"/>
  <c r="D41" i="14"/>
  <c r="D42" i="14"/>
  <c r="D45" i="14"/>
  <c r="D46" i="14"/>
  <c r="D47" i="14"/>
  <c r="D48" i="14"/>
  <c r="D49" i="14"/>
  <c r="D51" i="14"/>
  <c r="D52" i="14"/>
  <c r="D53" i="14"/>
  <c r="D55" i="14"/>
  <c r="D54" i="14" s="1"/>
  <c r="D61" i="14"/>
  <c r="D62" i="14"/>
  <c r="D63" i="14"/>
  <c r="D64" i="14"/>
  <c r="D66" i="14"/>
  <c r="D67" i="14"/>
  <c r="D70" i="14"/>
  <c r="D71" i="14"/>
  <c r="D74" i="14"/>
  <c r="D75" i="14"/>
  <c r="D76" i="14"/>
  <c r="D80" i="14"/>
  <c r="D81" i="14"/>
  <c r="D82" i="14"/>
  <c r="H99" i="14"/>
  <c r="H87" i="14" s="1"/>
  <c r="E31" i="14" l="1"/>
  <c r="D26" i="14"/>
  <c r="D50" i="14"/>
  <c r="D21" i="14"/>
  <c r="D20" i="14" s="1"/>
  <c r="D38" i="14"/>
  <c r="F3" i="14"/>
  <c r="D3" i="14" s="1"/>
  <c r="D73" i="14"/>
  <c r="D60" i="14"/>
  <c r="D33" i="14"/>
  <c r="D17" i="14"/>
  <c r="D69" i="14"/>
  <c r="D65" i="14"/>
  <c r="D5" i="14"/>
  <c r="D12" i="14"/>
  <c r="D44" i="14"/>
  <c r="D43" i="14" s="1"/>
  <c r="D79" i="14"/>
  <c r="F31" i="14"/>
  <c r="D32" i="14" l="1"/>
  <c r="D31" i="14" s="1"/>
  <c r="D59" i="14"/>
  <c r="F87" i="14"/>
  <c r="F93" i="14" s="1"/>
  <c r="I102" i="14" s="1"/>
  <c r="D4" i="14"/>
  <c r="F94" i="14" l="1"/>
  <c r="F95" i="14" s="1"/>
  <c r="B15" i="11" l="1"/>
  <c r="B54" i="11" l="1"/>
  <c r="B55" i="11"/>
  <c r="B58" i="11"/>
  <c r="B57" i="11"/>
  <c r="B46" i="11" l="1"/>
  <c r="B40" i="11"/>
  <c r="B41" i="11"/>
  <c r="B47" i="11"/>
  <c r="B48" i="11"/>
  <c r="B45" i="11"/>
  <c r="B56" i="11"/>
  <c r="G5" i="11"/>
  <c r="B63" i="11"/>
  <c r="B60" i="11"/>
  <c r="B59" i="11"/>
  <c r="B51" i="11"/>
  <c r="B42" i="11"/>
  <c r="B39" i="11"/>
  <c r="B35" i="11"/>
  <c r="B34" i="11"/>
  <c r="B33" i="11"/>
  <c r="B32" i="11"/>
  <c r="B28" i="11"/>
  <c r="B25" i="11"/>
  <c r="B24" i="11"/>
  <c r="B21" i="11"/>
  <c r="B20" i="11"/>
  <c r="B19" i="11"/>
  <c r="B18" i="11"/>
  <c r="B17" i="11"/>
  <c r="B16" i="11"/>
  <c r="B14" i="11"/>
  <c r="B12" i="11"/>
  <c r="B11" i="11"/>
  <c r="B10" i="11"/>
  <c r="B9" i="11"/>
  <c r="B8" i="11"/>
  <c r="B7" i="11"/>
  <c r="B6" i="11"/>
  <c r="B3" i="11"/>
  <c r="D55" i="1" l="1"/>
  <c r="E55" i="1"/>
  <c r="F55" i="1"/>
  <c r="E62" i="1"/>
  <c r="F62" i="1"/>
  <c r="D62" i="1"/>
  <c r="I44" i="1"/>
  <c r="I39" i="1"/>
  <c r="I30" i="1"/>
  <c r="I24" i="1"/>
  <c r="I18" i="1"/>
  <c r="D71" i="1"/>
  <c r="H66" i="1"/>
  <c r="G47" i="1"/>
  <c r="G48" i="1"/>
  <c r="G49" i="1"/>
  <c r="G46" i="1"/>
  <c r="G38" i="1"/>
  <c r="G29" i="1"/>
  <c r="G17" i="1"/>
  <c r="G12" i="1"/>
  <c r="E50" i="1"/>
  <c r="F50" i="1"/>
  <c r="D50" i="1"/>
  <c r="F44" i="1"/>
  <c r="F39" i="1"/>
  <c r="F30" i="1"/>
  <c r="F24" i="1"/>
  <c r="F18" i="1"/>
  <c r="F13" i="1"/>
  <c r="I56" i="1" l="1"/>
  <c r="I58" i="1"/>
  <c r="F56" i="1"/>
  <c r="F57" i="1" s="1"/>
  <c r="G50" i="1"/>
  <c r="H50" i="1"/>
  <c r="K56" i="1" l="1"/>
  <c r="K58" i="1" s="1"/>
  <c r="F58" i="1"/>
  <c r="F64" i="1" s="1"/>
  <c r="G68" i="1" l="1"/>
  <c r="F63" i="1"/>
  <c r="F65" i="1"/>
  <c r="F66" i="1" l="1"/>
  <c r="G42" i="1" l="1"/>
  <c r="E44" i="1" l="1"/>
  <c r="G11" i="1" l="1"/>
  <c r="G28" i="1"/>
  <c r="G37" i="1" l="1"/>
  <c r="G36" i="1"/>
  <c r="G26" i="1"/>
  <c r="E30" i="1"/>
  <c r="D30" i="1"/>
  <c r="G27" i="1"/>
  <c r="G22" i="1"/>
  <c r="G34" i="1"/>
  <c r="G16" i="1"/>
  <c r="E18" i="1"/>
  <c r="D24" i="1"/>
  <c r="H30" i="1" l="1"/>
  <c r="E24" i="1"/>
  <c r="E39" i="1"/>
  <c r="G30" i="1"/>
  <c r="G41" i="1"/>
  <c r="E13" i="1"/>
  <c r="G10" i="1"/>
  <c r="G23" i="1"/>
  <c r="H24" i="1" s="1"/>
  <c r="G9" i="1"/>
  <c r="D13" i="1"/>
  <c r="E56" i="1" l="1"/>
  <c r="H13" i="1"/>
  <c r="C59" i="14"/>
  <c r="C27" i="14"/>
  <c r="C32" i="14"/>
  <c r="G13" i="1"/>
  <c r="G24" i="1"/>
  <c r="E57" i="1"/>
  <c r="E58" i="1" s="1"/>
  <c r="J59" i="1" s="1"/>
  <c r="C26" i="14" l="1"/>
  <c r="C6" i="14"/>
  <c r="C10" i="14"/>
  <c r="C15" i="14"/>
  <c r="C21" i="14"/>
  <c r="C28" i="14"/>
  <c r="C7" i="14"/>
  <c r="C12" i="14"/>
  <c r="C17" i="14"/>
  <c r="C22" i="14"/>
  <c r="C4" i="14"/>
  <c r="C44" i="14"/>
  <c r="C38" i="14"/>
  <c r="C54" i="14"/>
  <c r="C47" i="14"/>
  <c r="C40" i="14"/>
  <c r="C34" i="14"/>
  <c r="C56" i="14"/>
  <c r="C46" i="14"/>
  <c r="C39" i="14"/>
  <c r="C78" i="14"/>
  <c r="C73" i="14"/>
  <c r="C83" i="14"/>
  <c r="C63" i="14"/>
  <c r="C70" i="14"/>
  <c r="C65" i="14"/>
  <c r="C66" i="14"/>
  <c r="C71" i="14"/>
  <c r="C62" i="14"/>
  <c r="C75" i="14"/>
  <c r="C20" i="14"/>
  <c r="C29" i="14"/>
  <c r="C8" i="14"/>
  <c r="C13" i="14"/>
  <c r="C18" i="14"/>
  <c r="C23" i="14"/>
  <c r="C5" i="14"/>
  <c r="C9" i="14"/>
  <c r="C14" i="14"/>
  <c r="C19" i="14"/>
  <c r="C24" i="14"/>
  <c r="C43" i="14"/>
  <c r="C33" i="14"/>
  <c r="C48" i="14"/>
  <c r="C55" i="14"/>
  <c r="C51" i="14"/>
  <c r="C45" i="14"/>
  <c r="C36" i="14"/>
  <c r="C50" i="14"/>
  <c r="C52" i="14"/>
  <c r="C41" i="14"/>
  <c r="C35" i="14"/>
  <c r="C60" i="14"/>
  <c r="C79" i="14"/>
  <c r="C85" i="14"/>
  <c r="C81" i="14"/>
  <c r="C74" i="14"/>
  <c r="C69" i="14"/>
  <c r="C80" i="14"/>
  <c r="C67" i="14"/>
  <c r="C61" i="14"/>
  <c r="C76" i="14"/>
  <c r="E64" i="1"/>
  <c r="E65" i="1"/>
  <c r="E63" i="1"/>
  <c r="E66" i="1" l="1"/>
  <c r="D15" i="1" l="1"/>
  <c r="D18" i="1" s="1"/>
  <c r="G15" i="1" l="1"/>
  <c r="H18" i="1" s="1"/>
  <c r="G18" i="1" l="1"/>
  <c r="D35" i="1" l="1"/>
  <c r="G35" i="1" s="1"/>
  <c r="G39" i="1" l="1"/>
  <c r="H39" i="1"/>
  <c r="D39" i="1"/>
  <c r="E58" i="14"/>
  <c r="D43" i="1"/>
  <c r="G43" i="1" l="1"/>
  <c r="H44" i="1" s="1"/>
  <c r="D68" i="1" s="1"/>
  <c r="D44" i="1"/>
  <c r="D56" i="1" s="1"/>
  <c r="E87" i="14"/>
  <c r="E93" i="14" s="1"/>
  <c r="E94" i="14" l="1"/>
  <c r="E95" i="14" s="1"/>
  <c r="G44" i="1"/>
  <c r="D57" i="1" l="1"/>
  <c r="D58" i="1" s="1"/>
  <c r="I59" i="1" s="1"/>
  <c r="G56" i="1"/>
  <c r="G57" i="1" l="1"/>
  <c r="G58" i="1" s="1"/>
  <c r="K59" i="1" s="1"/>
  <c r="D65" i="1"/>
  <c r="D63" i="1"/>
  <c r="D64" i="1"/>
  <c r="D72" i="1" l="1"/>
  <c r="D69" i="1"/>
  <c r="G64" i="1"/>
  <c r="G65" i="1"/>
  <c r="D66" i="1"/>
  <c r="G63" i="1"/>
  <c r="D100" i="14" l="1"/>
  <c r="G66" i="1"/>
  <c r="D78" i="14"/>
  <c r="D58" i="14" s="1"/>
  <c r="G69" i="1" l="1"/>
  <c r="D87" i="14"/>
  <c r="J87" i="14" l="1"/>
  <c r="D93" i="14"/>
  <c r="I99" i="14" l="1"/>
  <c r="D94" i="14"/>
  <c r="D95" i="14" s="1"/>
  <c r="J31" i="14"/>
  <c r="J3" i="14"/>
  <c r="J58" i="14"/>
  <c r="D97" i="14" l="1"/>
  <c r="D98" i="14" s="1"/>
  <c r="I79" i="5" l="1"/>
  <c r="I93" i="5"/>
  <c r="I80" i="5"/>
  <c r="I94" i="5"/>
  <c r="I81" i="5"/>
  <c r="G84" i="5"/>
  <c r="G76" i="5" s="1"/>
  <c r="I95" i="5"/>
  <c r="I84" i="5" l="1"/>
  <c r="I76" i="5" s="1"/>
  <c r="I98" i="5"/>
  <c r="I100" i="5" s="1"/>
  <c r="G98" i="5"/>
  <c r="G100" i="5" s="1"/>
  <c r="D112" i="5" l="1"/>
  <c r="D111" i="5"/>
  <c r="F112" i="5" l="1"/>
  <c r="D118" i="5"/>
  <c r="E112" i="5"/>
  <c r="F111" i="5"/>
  <c r="E111" i="5"/>
  <c r="D117" i="5"/>
  <c r="E117" i="5" l="1"/>
  <c r="J117" i="5"/>
  <c r="E118" i="5"/>
  <c r="J118" i="5"/>
  <c r="K118" i="5" l="1"/>
  <c r="L118" i="5"/>
  <c r="K117" i="5"/>
  <c r="L117" i="5"/>
</calcChain>
</file>

<file path=xl/sharedStrings.xml><?xml version="1.0" encoding="utf-8"?>
<sst xmlns="http://schemas.openxmlformats.org/spreadsheetml/2006/main" count="1367" uniqueCount="833">
  <si>
    <t>Tranche %</t>
  </si>
  <si>
    <t>Total</t>
  </si>
  <si>
    <t>Other peacebuilding objectives not related to specific SDG target</t>
  </si>
  <si>
    <t>Other</t>
  </si>
  <si>
    <t>1.1 By 2030, eradicate extreme poverty for all people everywhere, currently measured as people living on less than $1.25 a day</t>
  </si>
  <si>
    <t>1.1</t>
  </si>
  <si>
    <t>1.2 By 2030, reduce at least by half the proportion of men, women and children of all ages living in poverty in all its dimensions according to national definitions</t>
  </si>
  <si>
    <t>1.2</t>
  </si>
  <si>
    <t>1.3 Implement nationally appropriate social protection systems and measures for all, including floors, and by 2030 achieve substantial coverage of the poor and the vulnerable</t>
  </si>
  <si>
    <t>1.3</t>
  </si>
  <si>
    <t>1.4 By 2030, ensure that all men and women, in particular the poor and the vulnerable, have equal rights to economic resources, as well as access to basic services, ownership and control over land and other forms of property, inheritance, natural resources, appropriate new technology and financial services, including microfinance</t>
  </si>
  <si>
    <t>1.4</t>
  </si>
  <si>
    <t>1.5 By 2030, build the resilience of the poor and those in vulnerable situations and reduce their exposure and vulnerability to climate-related extreme events and other economic, social and environmental shocks and disasters</t>
  </si>
  <si>
    <t>1.5</t>
  </si>
  <si>
    <t>1.a Ensure significant mobilization of resources from a variety of sources, including through enhanced development cooperation, in order to provide adequate and predictable means for developing countries, in particular least developed countries, to implement programmes and policies to end poverty in all its dimensions</t>
  </si>
  <si>
    <t xml:space="preserve">1.a </t>
  </si>
  <si>
    <t>1.b Create sound policy frameworks at the national, regional and international levels, based on pro-poor and gender-sensitive development strategies, to support accelerated investment in poverty eradication actions</t>
  </si>
  <si>
    <t>1.b</t>
  </si>
  <si>
    <t>2.1 By 2030, end hunger and ensure access by all people, in particular the poor and people in vulnerable situations, including infants, to safe, nutritious and sufficient food all year round</t>
  </si>
  <si>
    <t>2.1</t>
  </si>
  <si>
    <t>2.2 By 2030, end all forms of malnutrition, including achieving, by 2025, the internationally agreed targets on stunting and wasting in children under 5 years of age, and address the nutritional needs of adolescent girls, pregnant and lactating women and older persons</t>
  </si>
  <si>
    <t>2.2</t>
  </si>
  <si>
    <t>2.3 By 2030, double the agricultural productivity and incomes of small-scale food producers, in particular women, indigenous peoples, family farmers, pastoralists and fishers, including through secure and equal access to land, other productive resources and inputs, knowledge, financial services, markets and opportunities for value addition and non-farm employment</t>
  </si>
  <si>
    <t>2.3</t>
  </si>
  <si>
    <t>2.4 By 2030, ensure sustainable food production systems and implement resilient agricultural practices that increase productivity and production, that help maintain ecosystems, that strengthen capacity for adaptation to climate change, extreme weather, drought, flooding and other disasters and that progressively improve land and soil quality</t>
  </si>
  <si>
    <t>2.4</t>
  </si>
  <si>
    <t>2.5 By 2020, maintain the genetic diversity of seeds, cultivated plants and farmed and domesticated animals and their related wild species, including through soundly managed and diversified seed and plant banks at the national, regional and international levels, and promote access to and fair and equitable sharing of benefits arising from the utilization of genetic resources and associated traditional knowledge, as internationally agreed</t>
  </si>
  <si>
    <t>2.5</t>
  </si>
  <si>
    <t>2.a Increase investment, including through enhanced international cooperation, in rural infrastructure, agricultural research and extension services, technology development and plant and livestock gene banks in order to enhance agricultural productive capacity in developing countries, in particular least developed countries</t>
  </si>
  <si>
    <t>2.a</t>
  </si>
  <si>
    <t>2.b Correct and prevent trade restrictions and distortions in world agricultural markets, including through the parallel elimination of all forms of agricultural export subsidies and all export measures with equivalent effect, in accordance with the mandate of the Doha Development Round</t>
  </si>
  <si>
    <t>2.b</t>
  </si>
  <si>
    <t>2.c Adopt measures to ensure the proper functioning of food commodity markets and their derivatives and facilitate timely access to market information, including on food reserves, in order to help limit extreme food price volatility</t>
  </si>
  <si>
    <t>2.c</t>
  </si>
  <si>
    <t>3.1 By 2030, reduce the global maternal mortality ratio to less than 70 per 100,000 live births</t>
  </si>
  <si>
    <t>3.1</t>
  </si>
  <si>
    <t>3.2 By 2030, end preventable deaths of newborns and children under 5 years of age, with all countries aiming to reduce neonatal mortality to at least as low as 12 per 1,000 live births and under-5 mortality to at least as low as 25 per 1,000 live births</t>
  </si>
  <si>
    <t>3.2</t>
  </si>
  <si>
    <t>3.3 By 2030, end the epidemics of AIDS, tuberculosis, malaria and neglected tropical diseases and combat hepatitis, water-borne diseases and other communicable diseases</t>
  </si>
  <si>
    <t>3.3</t>
  </si>
  <si>
    <t>3.4  By 2030, reduce by one third premature mortality from non-communicable diseases through prevention and treatment and promote mental health and well-being</t>
  </si>
  <si>
    <t>3.4</t>
  </si>
  <si>
    <t>3.5 Strengthen the prevention and treatment of substance abuse, including narcotic drug abuse and harmful use of alcohol</t>
  </si>
  <si>
    <t>3.5</t>
  </si>
  <si>
    <t>3.6 By 2020, halve the number of global deaths and injuries from road traffic accidents</t>
  </si>
  <si>
    <t>3.6</t>
  </si>
  <si>
    <t>3.7 By 2030, ensure universal access to sexual and reproductive health-care services, including for family planning, information and education, and the integration of reproductive health into national strategies and programmes</t>
  </si>
  <si>
    <t>3.7</t>
  </si>
  <si>
    <t>3.8 Achieve universal health coverage, including financial risk protection, access to quality essential health-care services and access to safe, effective, quality and affordable essential medicines and vaccines for all</t>
  </si>
  <si>
    <t>3.8</t>
  </si>
  <si>
    <t>3.9 By 2030, substantially reduce the number of deaths and illnesses from hazardous chemicals and air, water and soil pollution and contamination</t>
  </si>
  <si>
    <t>3.9</t>
  </si>
  <si>
    <t>3.a Strengthen the implementation of the World Health Organization Framework Convention on Tobacco Control in all countries, as appropriate</t>
  </si>
  <si>
    <t>3.a</t>
  </si>
  <si>
    <t>3.b Support the research and development of vaccines and medicines for the communicable and non‑communicable diseases that primarily affect developing countries, provide access to affordable essential medicines and vaccines, in accordance with the Doha Declaration on the TRIPS Agreement and Public Health, which affirms the right of developing countries to use to the full the provisions in the Agreement on Trade-Related Aspects of Intellectual Property Rights regarding flexibilities to protect public health, and, in particular, provide access to medicines for all</t>
  </si>
  <si>
    <t>3.b</t>
  </si>
  <si>
    <t>3.c Substantially increase health financing and the recruitment, development, training and retention of the health workforce in developing countries, especially in least developed countries and small island developing States</t>
  </si>
  <si>
    <t>3.c</t>
  </si>
  <si>
    <t>3.d Strengthen the capacity of all countries, in particular developing countries, for early warning, risk reduction and management of national and global health risks</t>
  </si>
  <si>
    <t>3.d</t>
  </si>
  <si>
    <t>4.1 By 2030, ensure that all girls and boys complete free, equitable and quality primary and secondary education leading to relevant and effective learning outcomes</t>
  </si>
  <si>
    <t>4.1</t>
  </si>
  <si>
    <t>4.2 By 2030, ensure that all girls and boys have access to quality early childhood development, care and pre-primary education so that they are ready for primary education</t>
  </si>
  <si>
    <t>4.2</t>
  </si>
  <si>
    <t>4.3 By 2030, ensure equal access for all women and men to affordable and quality technical, vocational and tertiary education, including university</t>
  </si>
  <si>
    <t>4.3</t>
  </si>
  <si>
    <t>4.4 By 2030, substantially increase the number of youth and adults who have relevant skills, including technical and vocational skills, for employment, decent jobs and entrepreneurship</t>
  </si>
  <si>
    <t>4.4</t>
  </si>
  <si>
    <t>4.5 By 2030, eliminate gender disparities in education and ensure equal access to all levels of education and vocational training for the vulnerable, including persons with disabilities, indigenous peoples and children in vulnerable situations</t>
  </si>
  <si>
    <t>4.5</t>
  </si>
  <si>
    <t>4.6 By 2030, ensure that all youth and a substantial proportion of adults, both men and women, achieve literacy and numeracy</t>
  </si>
  <si>
    <t>4.6</t>
  </si>
  <si>
    <t>4.7 By 2030, ensure that all learners acquire the knowledge and skills needed to promote sustainable development, including, among others, through education for sustainable development and sustainable lifestyles, human rights, gender equality, promotion of a culture of peace and non-violence, global citizenship and appreciation of cultural diversity and of culture’s contribution to sustainable development</t>
  </si>
  <si>
    <t>4.7</t>
  </si>
  <si>
    <t>4.a Build and upgrade education facilities that are child, disability and gender sensitive and provide safe, non-violent, inclusive and effective learning environments for all</t>
  </si>
  <si>
    <t>4.a</t>
  </si>
  <si>
    <t>4.b By 2020, substantially expand globally the number of scholarships available to developing countries, in particular least developed countries, small island developing States and African countries, for enrolment in higher education, including vocational training and information and communications technology, technical, engineering and scientific programmes, in developed countries and other developing countries</t>
  </si>
  <si>
    <t>4.b</t>
  </si>
  <si>
    <t>4.c By 2030, substantially increase the supply of qualified teachers, including through international cooperation for teacher training in developing countries, especially least developed countries and small island developing States</t>
  </si>
  <si>
    <t>4.c</t>
  </si>
  <si>
    <t>5.1 End all forms of discrimination against all women and girls everywhere</t>
  </si>
  <si>
    <t>5.1</t>
  </si>
  <si>
    <t>5.2 Eliminate all forms of violence against all women and girls in the public and private spheres, including trafficking and sexual and other types of exploitation</t>
  </si>
  <si>
    <t>5.2</t>
  </si>
  <si>
    <t>5.3 Eliminate all harmful practices, such as child, early and forced marriage and female genital mutilation</t>
  </si>
  <si>
    <t>5.3</t>
  </si>
  <si>
    <t>5.4 Recognize and value unpaid care and domestic work through the provision of public services, infrastructure and social protection policies and the promotion of shared responsibility within the household and the family as nationally appropriate</t>
  </si>
  <si>
    <t>5.4</t>
  </si>
  <si>
    <t>5.5 Ensure women’s full and effective participation and equal opportunities for leadership at all levels of decision-making in political, economic and public life</t>
  </si>
  <si>
    <t>5.5</t>
  </si>
  <si>
    <t>5.6 Ensure universal access to sexual and reproductive health and reproductive rights as agreed in accordance with the Programme of Action of the International Conference on Population and Development and the Beijing Platform for Action and the outcome documents of their review conferences</t>
  </si>
  <si>
    <t>5.6</t>
  </si>
  <si>
    <t>5.a Undertake reforms to give women equal rights to economic resources, as well as access to ownership and control over land and other forms of property, financial services, inheritance and natural resources, in accordance with national laws</t>
  </si>
  <si>
    <t>5.a</t>
  </si>
  <si>
    <t>5.b Enhance the use of enabling technology, in particular information and communications technology, to promote the empowerment of women</t>
  </si>
  <si>
    <t>5.b</t>
  </si>
  <si>
    <t>5.c Adopt and strengthen sound policies and enforceable legislation for the promotion of gender equality and the empowerment of all women and girls at all levels</t>
  </si>
  <si>
    <t>5.c</t>
  </si>
  <si>
    <t>6.1 By 2030, achieve universal and equitable access to safe and affordable drinking water for all</t>
  </si>
  <si>
    <t>6.1</t>
  </si>
  <si>
    <t>6.2 By 2030, achieve access to adequate and equitable sanitation and hygiene for all and end open defecation, paying special attention to the needs of women and girls and those in vulnerable situations</t>
  </si>
  <si>
    <t>6.2</t>
  </si>
  <si>
    <t>6.3 By 2030, improve water quality by reducing pollution, eliminating dumping and minimizing release of hazardous chemicals and materials, halving the proportion of untreated wastewater and substantially increasing recycling and safe reuse globally</t>
  </si>
  <si>
    <t>6.3</t>
  </si>
  <si>
    <t>6.4 By 2030, substantially increase water-use efficiency across all sectors and ensure sustainable withdrawals and supply of freshwater to address water scarcity and substantially reduce the number of people suffering from water scarcity</t>
  </si>
  <si>
    <t>6.4</t>
  </si>
  <si>
    <t>6.5 By 2030, implement integrated water resources management at all levels, including through transboundary cooperation as appropriate</t>
  </si>
  <si>
    <t>6.5</t>
  </si>
  <si>
    <t>6.6 By 2020, protect and restore water-related ecosystems, including mountains, forests, wetlands, rivers, aquifers and lakes</t>
  </si>
  <si>
    <t>6.6</t>
  </si>
  <si>
    <t>6.a By 2030, expand international cooperation and capacity-building support to developing countries in water- and sanitation-related activities and programmes, including water harvesting, desalination, water efficiency, wastewater treatment, recycling and reuse technologies</t>
  </si>
  <si>
    <t>6.a</t>
  </si>
  <si>
    <t>6.b Support and strengthen the participation of local communities in improving water and sanitation management</t>
  </si>
  <si>
    <t>6.b</t>
  </si>
  <si>
    <t>7.1 By 2030, ensure universal access to affordable, reliable and modern energy services</t>
  </si>
  <si>
    <t>7.1</t>
  </si>
  <si>
    <t>7.2 By 2030, increase substantially the share of renewable energy in the global energy mix</t>
  </si>
  <si>
    <t>7.2</t>
  </si>
  <si>
    <t>7.3 By 2030, double the global rate of improvement in energy efficiency</t>
  </si>
  <si>
    <t>7.3</t>
  </si>
  <si>
    <t>7.a By 2030, enhance international cooperation to facilitate access to clean energy research and technology, including renewable energy, energy efficiency and advanced and cleaner fossil-fuel technology, and promote investment in energy infrastructure and clean energy technology</t>
  </si>
  <si>
    <t>7.a</t>
  </si>
  <si>
    <t>7.b By 2030, expand infrastructure and upgrade technology for supplying modern and sustainable energy services for all in developing countries, in particular least developed countries, small island developing States and landlocked developing countries, in accordance with their respective programmes of support</t>
  </si>
  <si>
    <t>7.b</t>
  </si>
  <si>
    <t>8.1 Sustain per capita economic growth in accordance with national circumstances and, in particular, at least 7 per cent gross domestic product growth per annum in the least developed countries</t>
  </si>
  <si>
    <t>8.1</t>
  </si>
  <si>
    <t>8.2 Achieve higher levels of economic productivity through diversification, technological upgrading and innovation, including through a focus on high-value added and labour-intensive sectors</t>
  </si>
  <si>
    <t>8.2</t>
  </si>
  <si>
    <t>8.3 Promote development-oriented policies that support productive activities, decent job creation, entrepreneurship, creativity and innovation, and encourage the formalization and growth of micro-, small- and medium-sized enterprises, including through access to financial services</t>
  </si>
  <si>
    <t>8.3</t>
  </si>
  <si>
    <t>8.4 Improve progressively, through 2030, global resource efficiency in consumption and production and endeavour to decouple economic growth from environmental degradation, in accordance with the 10‑Year Framework of Programmes on Sustainable Consumption and Production, with developed countries taking the lead</t>
  </si>
  <si>
    <t>8.4</t>
  </si>
  <si>
    <t>8.5 By 2030, achieve full and productive employment and decent work for all women and men, including for young people and persons with disabilities, and equal pay for work of equal value</t>
  </si>
  <si>
    <t>8.5</t>
  </si>
  <si>
    <t>8.6 By 2020, substantially reduce the proportion of youth not in employment, education or training</t>
  </si>
  <si>
    <t>8.6</t>
  </si>
  <si>
    <t>8.7 Take immediate and effective measures to eradicate forced labour, end modern slavery and human trafficking and secure the prohibition and elimination of the worst forms of child labour, including recruitment and use of child soldiers, and by 2025 end child labour in all its forms</t>
  </si>
  <si>
    <t>8.7</t>
  </si>
  <si>
    <t>8.8  Protect labour rights and promote safe and secure working environments for all workers, including migrant workers, in particular women migrants, and those in precarious employment</t>
  </si>
  <si>
    <t>8.8</t>
  </si>
  <si>
    <t>8.9 By 2030, devise and implement policies to promote sustainable tourism that creates jobs and promotes local culture and products</t>
  </si>
  <si>
    <t>8.9</t>
  </si>
  <si>
    <t>8.10 Strengthen the capacity of domestic financial institutions to encourage and expand access to banking, insurance and financial services for all</t>
  </si>
  <si>
    <t>8.10</t>
  </si>
  <si>
    <t>8.a Increase Aid for Trade support for developing countries, in particular least developed countries, including through the Enhanced Integrated Framework for Trade-related Technical Assistance to Least Developed Countries</t>
  </si>
  <si>
    <t>8.a</t>
  </si>
  <si>
    <t>8.b By 2020, develop and operationalize a global strategy for youth employment and implement the Global Jobs Pact of the International Labour Organization</t>
  </si>
  <si>
    <t>8.b</t>
  </si>
  <si>
    <t>9.1 Develop quality, reliable, sustainable and resilient infrastructure, including regional and trans-border infrastructure, to support economic development and human well-being, with a focus on affordable and equitable access for all</t>
  </si>
  <si>
    <t>9.1</t>
  </si>
  <si>
    <t>9.2 Promote inclusive and sustainable industrialization and, by 2030, significantly raise industry’s share of employment and gross domestic product, in line with national circumstances, and double its share in least developed countries</t>
  </si>
  <si>
    <t>9.2</t>
  </si>
  <si>
    <t>9.3 Increase the access of small-scale industrial and other enterprises, in particular in developing countries, to financial services, including affordable credit, and their integration into value chains and markets</t>
  </si>
  <si>
    <t>9.3</t>
  </si>
  <si>
    <t>9.4 By 2030, upgrade infrastructure and retrofit industries to make them sustainable, with increased resource-use efficiency and greater adoption of clean and environmentally sound technologies and industrial processes, with all countries taking action in accordance with their respective capabilities</t>
  </si>
  <si>
    <t>9.4</t>
  </si>
  <si>
    <t>9.5 Enhance scientific research, upgrade the technological capabilities of industrial sectors in all countries, in particular developing countries, including, by 2030, encouraging innovation and substantially increasing the number of research and development workers per 1 million people and public and private research and development spending</t>
  </si>
  <si>
    <t>9.5</t>
  </si>
  <si>
    <t>9.a Facilitate sustainable and resilient infrastructure development in developing countries through enhanced financial, technological and technical support to African countries, least developed countries, landlocked developing countries and small island developing States</t>
  </si>
  <si>
    <t>9.a</t>
  </si>
  <si>
    <t>9.b Support domestic technology development, research and innovation in developing countries, including by ensuring a conducive policy environment for, inter alia, industrial diversification and value addition to commodities</t>
  </si>
  <si>
    <t>9.b</t>
  </si>
  <si>
    <t>9.c Significantly increase access to information and communications technology and strive to provide universal and affordable access to the Internet in least developed countries by 2020</t>
  </si>
  <si>
    <t>9.c</t>
  </si>
  <si>
    <t>10.1 By 2030, progressively achieve and sustain income growth of the bottom 40 per cent of the population at a rate higher than the national average</t>
  </si>
  <si>
    <t>10.1</t>
  </si>
  <si>
    <t>10.2 By 2030, empower and promote the social, economic and political inclusion of all, irrespective of age, sex, disability, race, ethnicity, origin, religion or economic or other status</t>
  </si>
  <si>
    <t>10.2</t>
  </si>
  <si>
    <t>10.3 Ensure equal opportunity and reduce inequalities of outcome, including by eliminating discriminatory laws, policies and practices and promoting appropriate legislation, policies and action in this regard</t>
  </si>
  <si>
    <t>10.3</t>
  </si>
  <si>
    <t>10.4 Adopt policies, especially fiscal, wage and social protection policies, and progressively achieve greater equality</t>
  </si>
  <si>
    <t>10.4</t>
  </si>
  <si>
    <t>10.5 Improve the regulation and monitoring of global financial markets and institutions and strengthen the implementation of such regulations</t>
  </si>
  <si>
    <t>10.5</t>
  </si>
  <si>
    <t>10.6 Ensure enhanced representation and voice for developing countries in decision-making in global international economic and financial institutions in order to deliver more effective, credible, accountable and legitimate institutions</t>
  </si>
  <si>
    <t>10.6</t>
  </si>
  <si>
    <t>10.7 Facilitate orderly, safe, regular and responsible migration and mobility of people, including through the implementation of planned and well-managed migration policies</t>
  </si>
  <si>
    <t>10.7</t>
  </si>
  <si>
    <t>10.a Implement the principle of special and differential treatment for developing countries, in particular least developed countries, in accordance with World Trade Organization agreements</t>
  </si>
  <si>
    <t>10.a</t>
  </si>
  <si>
    <t>10.b Encourage official development assistance and financial flows, including foreign direct investment, to States where the need is greatest, in particular least developed countries, African countries, small island developing States and landlocked developing countries, in accordance with their national plans and programmes</t>
  </si>
  <si>
    <t>10.b</t>
  </si>
  <si>
    <t>10.c By 2030, reduce to less than 3 per cent the transaction costs of migrant remittances and eliminate remittance corridors with costs higher than 5 per cent</t>
  </si>
  <si>
    <t>10.c</t>
  </si>
  <si>
    <t>11.1 By 2030, ensure access for all to adequate, safe and affordable housing and basic services and upgrade slums</t>
  </si>
  <si>
    <t>11.1</t>
  </si>
  <si>
    <t>11.2 By 2030, provide access to safe, affordable, accessible and sustainable transport systems for all, improving road safety, notably by expanding public transport, with special attention to the needs of those in vulnerable situations, women, children, persons with disabilities and older persons</t>
  </si>
  <si>
    <t>11.2</t>
  </si>
  <si>
    <t>11.3 By 2030, enhance inclusive and sustainable urbanization and capacity for participatory, integrated and sustainable human settlement planning and management in all countries</t>
  </si>
  <si>
    <t>11.3</t>
  </si>
  <si>
    <t>11.4 Strengthen efforts to protect and safeguard the world’s cultural and natural heritage</t>
  </si>
  <si>
    <t>11.4</t>
  </si>
  <si>
    <t>11.5 By 2030, significantly reduce the number of deaths and the number of people affected and substantially decrease the direct economic losses relative to global gross domestic product caused by disasters, including water-related disasters, with a focus on protecting the poor and people in vulnerable situations</t>
  </si>
  <si>
    <t>11.5</t>
  </si>
  <si>
    <t>11.6 By 2030, reduce the adverse per capita environmental impact of cities, including by paying special attention to air quality and municipal and other waste management</t>
  </si>
  <si>
    <t>11.6</t>
  </si>
  <si>
    <t>11.7 By 2030, provide universal access to safe, inclusive and accessible, green and public spaces, in particular for women and children, older persons and persons with disabilities</t>
  </si>
  <si>
    <t>11.7</t>
  </si>
  <si>
    <t>11.a Support positive economic, social and environmental links between urban, peri-urban and rural areas by strengthening national and regional development planning</t>
  </si>
  <si>
    <t>11.a</t>
  </si>
  <si>
    <t>11.b By 2020, substantially increase the number of cities and human settlements adopting and implementing integrated policies and plans towards inclusion, resource efficiency, mitigation and adaptation to climate change, resilience to disasters, and develop and implement, in line with the Sendai Framework for Disaster Risk Reduction 2015-2030, holistic disaster risk management at all levels</t>
  </si>
  <si>
    <t>11.b</t>
  </si>
  <si>
    <t>11.c Support least developed countries, including through financial and technical assistance, in building sustainable and resilient buildings utilizing local materials</t>
  </si>
  <si>
    <t>11.c</t>
  </si>
  <si>
    <t>12.1 Implement the 10-Year Framework of Programmes on Sustainable Consumption and Production Patterns, all countries taking action, with developed countries taking the lead, taking into account the development and capabilities of developing countries</t>
  </si>
  <si>
    <t>12.1</t>
  </si>
  <si>
    <t>12.2 By 2030, achieve the sustainable management and efficient use of natural resources</t>
  </si>
  <si>
    <t>12.2</t>
  </si>
  <si>
    <t>12.3 By 2030, halve per capita global food waste at the retail and consumer levels and reduce food losses along production and supply chains, including post-harvest losses</t>
  </si>
  <si>
    <t>12.3</t>
  </si>
  <si>
    <t>12.4 By 2020, achieve the environmentally sound management of chemicals and all wastes throughout their life cycle, in accordance with agreed international frameworks, and significantly reduce their release to air, water and soil in order to minimize their adverse impacts on human health and the environment</t>
  </si>
  <si>
    <t>12.4</t>
  </si>
  <si>
    <t>12.5 By 2030, substantially reduce waste generation through prevention, reduction, recycling and reuse</t>
  </si>
  <si>
    <t>12.5</t>
  </si>
  <si>
    <t>12.6 Encourage companies, especially large and transnational companies, to adopt sustainable practices and to integrate sustainability information into their reporting cycle</t>
  </si>
  <si>
    <t>12.6</t>
  </si>
  <si>
    <t>12.7 Promote public procurement practices that are sustainable, in accordance with national policies and priorities</t>
  </si>
  <si>
    <t>12.7</t>
  </si>
  <si>
    <t>12.8 By 2030, ensure that people everywhere have the relevant information and awareness for sustainable development and lifestyles in harmony with nature</t>
  </si>
  <si>
    <t>12.8</t>
  </si>
  <si>
    <t>12.a Support developing countries to strengthen their scientific and technological capacity to move towards more sustainable patterns of consumption and production</t>
  </si>
  <si>
    <t>12.a</t>
  </si>
  <si>
    <t>12.b Develop and implement tools to monitor sustainable development impacts for sustainable tourism that creates jobs and promotes local culture and products</t>
  </si>
  <si>
    <t>12.b</t>
  </si>
  <si>
    <t>12.c Rationalize inefficient fossil-fuel subsidies that encourage wasteful consumption by removing market distortions, in accordance with national circumstances, including by restructuring taxation and phasing out those harmful subsidies, where they exist, to reflect their environmental impacts, taking fully into account the specific needs and conditions of developing countries and minimizing the possible adverse impacts on their development in a manner that protects the poor and the affected communities</t>
  </si>
  <si>
    <t>12.c</t>
  </si>
  <si>
    <t>13.1 Strengthen resilience and adaptive capacity to climate-related hazards and natural disasters in all countries</t>
  </si>
  <si>
    <t>13.1</t>
  </si>
  <si>
    <t>13.2 Integrate climate change measures into national policies, strategies and planning</t>
  </si>
  <si>
    <t>13.2</t>
  </si>
  <si>
    <t>13.3 Improve education, awareness-raising and human and institutional capacity on climate change mitigation, adaptation, impact reduction and early warning</t>
  </si>
  <si>
    <t>13.3</t>
  </si>
  <si>
    <t>13.a Implement the commitment undertaken by developed-country parties to the United Nations Framework Convention on Climate Change to a goal of mobilizing jointly $100 billion annually by 2020 from all sources to address the needs of developing countries in the context of meaningful mitigation actions and transparency on implementation and fully operationalize the Green Climate Fund through its capitalization as soon as possible</t>
  </si>
  <si>
    <t>13.a</t>
  </si>
  <si>
    <t>13.b Promote mechanisms for raising capacity for effective climate change-related planning and management in least developed countries and small island developing States, including focusing on women, youth and local and marginalized communities</t>
  </si>
  <si>
    <t>13.b</t>
  </si>
  <si>
    <t>14.1 By 2025, prevent and significantly reduce marine pollution of all kinds, in particular from land-based activities, including marine debris and nutrient pollution</t>
  </si>
  <si>
    <t>14.1</t>
  </si>
  <si>
    <t>14.2 By 2020, sustainably manage and protect marine and coastal ecosystems to avoid significant adverse impacts, including by strengthening their resilience, and take action for their restoration in order to achieve healthy and productive oceans</t>
  </si>
  <si>
    <t>14.2</t>
  </si>
  <si>
    <t>14.3 Minimize and address the impacts of ocean acidification, including through enhanced scientific cooperation at all levels</t>
  </si>
  <si>
    <t>14.3</t>
  </si>
  <si>
    <t>14.4 By 2020, effectively regulate harvesting and end overfishing, illegal, unreported and unregulated fishing and destructive fishing practices and implement science-based management plans, in order to restore fish stocks in the shortest time feasible, at least to levels that can produce maximum sustainable yield as determined by their biological characteristics</t>
  </si>
  <si>
    <t>14.4</t>
  </si>
  <si>
    <t>14.5 By 2020, conserve at least 10 per cent of coastal and marine areas, consistent with national and international law and based on the best available scientific information</t>
  </si>
  <si>
    <t>14.5</t>
  </si>
  <si>
    <t>14.6 By 2020, prohibit certain forms of fisheries subsidies which contribute to overcapacity and overfishing, eliminate subsidies that contribute to illegal, unreported and unregulated fishing and refrain from introducing new such subsidies, recognizing that appropriate and effective special and differential treatment for developing and least developed countries should be an integral part of the World Trade Organization fisheries subsidies negotiation[c]</t>
  </si>
  <si>
    <t>14.6</t>
  </si>
  <si>
    <t>14.7 By 2030, increase the economic benefits to small island developing States and least developed countries from the sustainable use of marine resources, including through sustainable management of fisheries, aquaculture and tourism</t>
  </si>
  <si>
    <t>14.7</t>
  </si>
  <si>
    <t>14.a Increase scientific knowledge, develop research capacity and transfer marine technology, taking into account the Intergovernmental Oceanographic Commission Criteria and Guidelines on the Transfer of Marine Technology, in order to improve ocean health and to enhance the contribution of marine biodiversity to the development of developing countries, in particular small island developing States and least developed countries</t>
  </si>
  <si>
    <t>14.a</t>
  </si>
  <si>
    <t>14.b Provide access for small-scale artisanal fishers to marine resources and markets</t>
  </si>
  <si>
    <t>14.b</t>
  </si>
  <si>
    <t>14.c Enhance the conservation and sustainable use of oceans and their resources by implementing international law as reflected in the United Nations Convention on the Law of the Sea, which provides the legal framework for the conservation and sustainable use of oceans and their resources, as recalled in paragraph 158 of “The future we want”</t>
  </si>
  <si>
    <t>14.c</t>
  </si>
  <si>
    <t>15.1 By 2020, ensure the conservation, restoration and sustainable use of terrestrial and inland freshwater ecosystems and their services, in particular forests, wetlands, mountains and drylands, in line with obligations under international agreements</t>
  </si>
  <si>
    <t>15.1</t>
  </si>
  <si>
    <t>15.2 By 2020, promote the implementation of sustainable management of all types of forests, halt deforestation, restore degraded forests and substantially increase afforestation and reforestation globally</t>
  </si>
  <si>
    <t>15.2</t>
  </si>
  <si>
    <t>15.3 By 2030, combat desertification, restore degraded land and soil, including land affected by desertification, drought and floods, and strive to achieve a land degradation-neutral world</t>
  </si>
  <si>
    <t>15.3</t>
  </si>
  <si>
    <t>15.4 By 2030, ensure the conservation of mountain ecosystems, including their biodiversity, in order to enhance their capacity to provide benefits that are essential for sustainable development</t>
  </si>
  <si>
    <t>15.4</t>
  </si>
  <si>
    <t>15.5 Take urgent and significant action to reduce the degradation of natural habitats, halt the loss of biodiversity and, by 2020, protect and prevent the extinction of threatened species</t>
  </si>
  <si>
    <t>15.5</t>
  </si>
  <si>
    <t>15.6 Promote fair and equitable sharing of the benefits arising from the utilization of genetic resources and promote appropriate access to such resources, as internationally agreed</t>
  </si>
  <si>
    <t>15.6</t>
  </si>
  <si>
    <t>15.7 Take urgent action to end poaching and trafficking of protected species of flora and fauna and address both demand and supply of illegal wildlife products</t>
  </si>
  <si>
    <t>15.7</t>
  </si>
  <si>
    <t>15.8 By 2020, introduce measures to prevent the introduction and significantly reduce the impact of invasive alien species on land and water ecosystems and control or eradicate the priority species</t>
  </si>
  <si>
    <t>15.8</t>
  </si>
  <si>
    <t>15.9 By 2020, integrate ecosystem and biodiversity values into national and local planning, development processes, poverty reduction strategies and accounts</t>
  </si>
  <si>
    <t>15.9</t>
  </si>
  <si>
    <t>15.a Mobilize and significantly increase financial resources from all sources to conserve and sustainably use biodiversity and ecosystems</t>
  </si>
  <si>
    <t>15.a</t>
  </si>
  <si>
    <t>15.b Mobilize significant resources from all sources and at all levels to finance sustainable forest management and provide adequate incentives to developing countries to advance such management, including for conservation and reforestation</t>
  </si>
  <si>
    <t>15.b</t>
  </si>
  <si>
    <t>15.c Enhance global support for efforts to combat poaching and trafficking of protected species, including by increasing the capacity of local communities to pursue sustainable livelihood opportunities</t>
  </si>
  <si>
    <t>15.c</t>
  </si>
  <si>
    <t>16.1 Significantly reduce all forms of violence and related death rates everywhere</t>
  </si>
  <si>
    <t>16.1</t>
  </si>
  <si>
    <t>16.2 End abuse, exploitation, trafficking and all forms of violence against and torture of children</t>
  </si>
  <si>
    <t>16.2</t>
  </si>
  <si>
    <t>16.3 Promote the rule of law at the national and international levels and ensure equal access to justice for all</t>
  </si>
  <si>
    <t>16.3</t>
  </si>
  <si>
    <t>16.4 By 2030, significantly reduce illicit financial and arms flows, strengthen the recovery and return of stolen assets and combat all forms of organized crime</t>
  </si>
  <si>
    <t>16.4</t>
  </si>
  <si>
    <t>16.5 Substantially reduce corruption and bribery in all their forms</t>
  </si>
  <si>
    <t>16.5</t>
  </si>
  <si>
    <t>16.6 Develop effective, accountable and transparent institutions at all levels</t>
  </si>
  <si>
    <t>16.6</t>
  </si>
  <si>
    <t>16.7 Ensure responsive, inclusive, participatory and representative decision-making at all levels</t>
  </si>
  <si>
    <t>16.7</t>
  </si>
  <si>
    <t>16.8 Broaden and strengthen the participation of developing countries in the institutions of global governance</t>
  </si>
  <si>
    <t>16.8</t>
  </si>
  <si>
    <t>16.9 By 2030, provide legal identity for all, including birth registration</t>
  </si>
  <si>
    <t>16.9</t>
  </si>
  <si>
    <t>16.10 Ensure public access to information and protect fundamental freedoms, in accordance with national legislation and international agreements</t>
  </si>
  <si>
    <t>16.10</t>
  </si>
  <si>
    <t>16.a Strengthen relevant national institutions, including through international cooperation, for building capacity at all levels, in particular in developing countries, to prevent violence and combat terrorism and crime</t>
  </si>
  <si>
    <t>16.a</t>
  </si>
  <si>
    <t>16.b Promote and enforce non-discriminatory laws and policies for sustainable development</t>
  </si>
  <si>
    <t>16.b</t>
  </si>
  <si>
    <t>17.1 Strengthen domestic resource mobilization, including through international support to developing countries, to improve domestic capacity for tax and other revenue collection</t>
  </si>
  <si>
    <t>17.1</t>
  </si>
  <si>
    <t>17.2 Developed countries to implement fully their official development assistance commitments, including the commitment by many developed countries to achieve the target of 0.7 per cent of gross national income for official development assistance (ODA/GNI) to developing countries and 0.15 to 0.20 per cent of ODA/GNI to least developed countries; ODA providers are encouraged to consider setting a target to provide at least 0.20 per cent of ODA/GNI to least developed countries</t>
  </si>
  <si>
    <t>17.2</t>
  </si>
  <si>
    <t>17.3 Mobilize additional financial resources for developing countries from multiple sources</t>
  </si>
  <si>
    <t>17.3</t>
  </si>
  <si>
    <t>17.4 Assist developing countries in attaining long-term debt sustainability through coordinated policies aimed at fostering debt financing, debt relief and debt restructuring, as appropriate, and address the external debt of highly indebted poor countries to reduce debt distress</t>
  </si>
  <si>
    <t>17.4</t>
  </si>
  <si>
    <t>17.5 Adopt and implement investment promotion regimes for least developed countries</t>
  </si>
  <si>
    <t>17.5</t>
  </si>
  <si>
    <t>17.6 Enhance North-South, South-South and triangular regional and international cooperation on and access to science, technology and innovation and enhance knowledge-sharing on mutually agreed terms, including through improved coordination among existing mechanisms, in particular at the United Nations level, and through a global technology facilitation mechanism</t>
  </si>
  <si>
    <t>17.6</t>
  </si>
  <si>
    <t>17.7 Promote the development, transfer, dissemination and diffusion of environmentally sound technologies to developing countries on favourable terms, including on concessional and preferential terms, as mutually agreed</t>
  </si>
  <si>
    <t>17.7</t>
  </si>
  <si>
    <t>17.8 Fully operationalize the technology bank and science, technology and innovation capacity-building mechanism for least developed countries by 2017 and enhance the use of enabling technology, in particular information and communications technology</t>
  </si>
  <si>
    <t>17.8</t>
  </si>
  <si>
    <t>17.9 Enhance international support for implementing effective and targeted capacity-building in developing countries to support national plans to implement all the Sustainable Development Goals, including through North-South, South-South and triangular cooperation</t>
  </si>
  <si>
    <t>17.9</t>
  </si>
  <si>
    <t>17.10 Promote a universal, rules-based, open, non‑discriminatory and equitable multilateral trading system under the World Trade Organization, including through the conclusion of negotiations under its Doha Development Agenda</t>
  </si>
  <si>
    <t>17.10</t>
  </si>
  <si>
    <t>17.11 Significantly increase the exports of developing countries, in particular with a view to doubling the least developed countries’ share of global exports by 2020</t>
  </si>
  <si>
    <t>17.11</t>
  </si>
  <si>
    <t>17.12 Realize timely implementation of duty-free and quota-free market access on a lasting basis for all least developed countries, consistent with World Trade Organization decisions, including by ensuring that preferential rules of origin applicable to imports from least developed countries are transparent and simple, and contribute to facilitating market access</t>
  </si>
  <si>
    <t>17.12</t>
  </si>
  <si>
    <t>17.13 Enhance global macroeconomic stability, including through policy coordination and policy coherence</t>
  </si>
  <si>
    <t>17.13</t>
  </si>
  <si>
    <t>17.14 Enhance policy coherence for sustainable development</t>
  </si>
  <si>
    <t>17.14</t>
  </si>
  <si>
    <t>17.15 Respect each country’s policy space and leadership to establish and implement policies for poverty eradication and sustainable development</t>
  </si>
  <si>
    <t>17.15</t>
  </si>
  <si>
    <t>17.16 Enhance the Global Partnership for Sustainable Development, complemented by multi-stakeholder partnerships that mobilize and share knowledge, expertise, technology and financial resources, to support the achievement of the Sustainable Development Goals in all countries, in particular developing countries</t>
  </si>
  <si>
    <t>17.16</t>
  </si>
  <si>
    <t>17.17 Encourage and promote effective public, public-private and civil society partnerships, building on the experience and resourcing strategies of partnerships</t>
  </si>
  <si>
    <t>17.17</t>
  </si>
  <si>
    <t>17.18 By 2020, enhance capacity-building support to developing countries, including for least developed countries and small island developing States, to increase significantly the availability of high-quality, timely and reliable data disaggregated by income, gender, age, race, ethnicity, migratory status, disability, geographic location and other characteristics relevant in national contexts</t>
  </si>
  <si>
    <t>17.18</t>
  </si>
  <si>
    <t>17.19 By 2030, build on existing initiatives to develop measurements of progress on sustainable development that complement gross domestic product, and support statistical capacity-building in developing countries</t>
  </si>
  <si>
    <t>17.19</t>
  </si>
  <si>
    <t>Tableau 1 - Budget du projet PBF par résultat, produit et activité</t>
  </si>
  <si>
    <t>Nombre de resultat/ produit</t>
  </si>
  <si>
    <t xml:space="preserve">RESULTAT 1: </t>
  </si>
  <si>
    <t>Produit 1.1:</t>
  </si>
  <si>
    <t>Activite 1.1.1:</t>
  </si>
  <si>
    <t>Activite 1.1.2:</t>
  </si>
  <si>
    <t>Activite 1.1.3:</t>
  </si>
  <si>
    <t>Activite 1.1.4</t>
  </si>
  <si>
    <t>Produit 1.2:</t>
  </si>
  <si>
    <t>Activite 1.2.1</t>
  </si>
  <si>
    <t>Activite 1.2.2</t>
  </si>
  <si>
    <t>Activite 1.2.3</t>
  </si>
  <si>
    <t xml:space="preserve">RESULTAT 2: </t>
  </si>
  <si>
    <t>Produit 2.1</t>
  </si>
  <si>
    <t>Activite 2.1.1</t>
  </si>
  <si>
    <t>Activite 2.1.2</t>
  </si>
  <si>
    <t>Produit 2.2</t>
  </si>
  <si>
    <t>Activite 2.2.1</t>
  </si>
  <si>
    <t>Activite' 2.2.2</t>
  </si>
  <si>
    <t>Activite 2.2.3</t>
  </si>
  <si>
    <t>Activite 2.2.4</t>
  </si>
  <si>
    <t xml:space="preserve">RESULTAT 3: </t>
  </si>
  <si>
    <t>Produit 3.1</t>
  </si>
  <si>
    <t>Activite 3.1.1</t>
  </si>
  <si>
    <t>Activite 3.1.2</t>
  </si>
  <si>
    <t>Activite 3.1.3</t>
  </si>
  <si>
    <t>Activite 3.1.4</t>
  </si>
  <si>
    <t>Activite 3.1.5</t>
  </si>
  <si>
    <t>Produit 3.2:</t>
  </si>
  <si>
    <t>Activite 3.2.1</t>
  </si>
  <si>
    <t>Activite 3.2.2</t>
  </si>
  <si>
    <t>Activite 3.2.3</t>
  </si>
  <si>
    <t>Cout de personnel du projet si pas inclus dans les activites si-dessus</t>
  </si>
  <si>
    <t>Couts operationnels si pas inclus dans les activites si-dessus</t>
  </si>
  <si>
    <t>Budget de suivi</t>
  </si>
  <si>
    <t>Budget pour l'évaluation finale indépendante</t>
  </si>
  <si>
    <t>Formulation du resultat/ produit/activite</t>
  </si>
  <si>
    <t>Organisation recipiendiaire 3 (budget en USD)</t>
  </si>
  <si>
    <t xml:space="preserve">Pourcentage du budget pour chaque produit ou activite reserve pour action directe sur égalité des sexes et autonomisation des femmes (GEWE) (cas echeant) </t>
  </si>
  <si>
    <t>Produit total</t>
  </si>
  <si>
    <t>Coûts supplémentaires total</t>
  </si>
  <si>
    <t>Sous-budget total du projet</t>
  </si>
  <si>
    <t>Coûts indirects (7%):</t>
  </si>
  <si>
    <t>Répartition des tranches basée sur la performance</t>
  </si>
  <si>
    <t>Première tranche</t>
  </si>
  <si>
    <t>Deuxième tranche</t>
  </si>
  <si>
    <t>Troisième tranche (le cas échéant)</t>
  </si>
  <si>
    <t>% alloué à GEWE</t>
  </si>
  <si>
    <t>% alloué à S&amp;E</t>
  </si>
  <si>
    <t>Totaux</t>
  </si>
  <si>
    <r>
      <t xml:space="preserve">Note: Le PBF n'accepte pas les projets avec moins de 5% pour le S&amp;E et moins 15% pour le GEWE. Ces chiffres apparaîtront </t>
    </r>
    <r>
      <rPr>
        <sz val="11"/>
        <color rgb="FFFF0000"/>
        <rFont val="Calibri"/>
        <family val="2"/>
        <scheme val="minor"/>
      </rPr>
      <t>en</t>
    </r>
    <r>
      <rPr>
        <sz val="11"/>
        <color theme="1"/>
        <rFont val="Calibri"/>
        <family val="2"/>
        <scheme val="minor"/>
      </rPr>
      <t xml:space="preserve"> </t>
    </r>
    <r>
      <rPr>
        <sz val="11"/>
        <color rgb="FFFF0000"/>
        <rFont val="Calibri"/>
        <family val="2"/>
        <scheme val="minor"/>
      </rPr>
      <t>rouge</t>
    </r>
    <r>
      <rPr>
        <sz val="11"/>
        <color theme="1"/>
        <rFont val="Calibri"/>
        <family val="2"/>
        <scheme val="minor"/>
      </rPr>
      <t xml:space="preserve"> si ce seuil minimum n'est pas atteint.</t>
    </r>
  </si>
  <si>
    <r>
      <t xml:space="preserve">$ alloué à GEWE </t>
    </r>
    <r>
      <rPr>
        <sz val="11"/>
        <color theme="1"/>
        <rFont val="Calibri"/>
        <family val="2"/>
        <scheme val="minor"/>
      </rPr>
      <t>(inclut coûts indirects)</t>
    </r>
  </si>
  <si>
    <r>
      <t xml:space="preserve">$ alloué à S&amp;E </t>
    </r>
    <r>
      <rPr>
        <sz val="11"/>
        <color theme="1"/>
        <rFont val="Calibri"/>
        <family val="2"/>
        <scheme val="minor"/>
      </rPr>
      <t>(inclut coûts indirects)</t>
    </r>
  </si>
  <si>
    <t>Total des dépenses</t>
  </si>
  <si>
    <t>Taux d'exécution</t>
  </si>
  <si>
    <t>A111.Sensibiliser/éduquer les jeunes sur différentes thématiques/messages de prévention de conflits</t>
  </si>
  <si>
    <t>2. Analyses/consultations préalables avec les parties prenantes et les groupes de jeunes dans les régions concernées par  élaboration d’ébauche de plan de communication ;</t>
  </si>
  <si>
    <t>Enquête CAP</t>
  </si>
  <si>
    <t>3. Atelier national d’information et d’élaboration/validation de plan de communication ;</t>
  </si>
  <si>
    <t>Restauration</t>
  </si>
  <si>
    <t>Location salle</t>
  </si>
  <si>
    <t xml:space="preserve">Fournitures des Participants et de l'Atelier (rame de papier, Marker, Flip,...) </t>
  </si>
  <si>
    <t xml:space="preserve">Frais de déplacement des Participants  venant des régions </t>
  </si>
  <si>
    <t>Perdiem et Hébergement des Participants des régions</t>
  </si>
  <si>
    <t>Application formation</t>
  </si>
  <si>
    <t xml:space="preserve">5. Planification et mise en œuvre d’activités d’éducation </t>
  </si>
  <si>
    <t>A112. Conduire des séances de formations générales pour les jeunes sur la consolidation de la paix, le SAP-PC  (et le CCAP)</t>
  </si>
  <si>
    <t>1. Capitalisation des acquis nationaux/internationaux et élaboration d’outils/guide de formation d’un SAP-PC à travers un consultant qui va faire l’inventaire des outils existants et l’élaboration de draft d’outils/guide</t>
  </si>
  <si>
    <t>2. Atelier de restitution et de validation des outils/guide de formation générale d’un SAP-PC</t>
  </si>
  <si>
    <t>3. Conduite de FdF pour les RSOD/TAD qui vont assurer la mise en œuvre du SAP-PC au niveau régions et districts et former/superviser les RSOC/TAK</t>
  </si>
  <si>
    <t>A113. Conduire des séances d’informations et de mobilisation des acteurs effectués par les jeunes au niveau district et au niveau régional</t>
  </si>
  <si>
    <t>2. Restitution/émission media conjointe par les OSC/jeunes et les acteurs/décideurs sur la collaboration pour le déploiement du SAP-PC</t>
  </si>
  <si>
    <t>A121.Organiser/répartir et déployer les jeunes observateurs avec les outils</t>
  </si>
  <si>
    <t>2.    AMI  lancé auprès des participants/jeunes sensibilisés et ayant bénéficié des formations générales, sélection/recrutement et répartition des jeunes observateurs SAP-PC</t>
  </si>
  <si>
    <t xml:space="preserve">3.    Conception, préparation et élaboration des outils/guide de formation sur les outils et la méthodologie de mise en œuvre du SAP-PC </t>
  </si>
  <si>
    <t>4.    Mise en œuvre de la formation des jeunes observateurs sélectionnés/recrutés</t>
  </si>
  <si>
    <t>Formation des observateurs</t>
  </si>
  <si>
    <t>Indemnités observateurs</t>
  </si>
  <si>
    <t xml:space="preserve">A122.Conduire et rapporter le SAP-PC (Suivi-Observation régulier/trimestriel, Alertes selon événements par les Observateurs, Signalements/numéros verts par les citoyens) et diffuser les résultats. </t>
  </si>
  <si>
    <t>Fonctionnement des Numeros Verts</t>
  </si>
  <si>
    <t>Téléconseillers de récoupement et d'analyse</t>
  </si>
  <si>
    <t>Produit 2.1 Thématiques d’actions publiques définies</t>
  </si>
  <si>
    <t xml:space="preserve"> </t>
  </si>
  <si>
    <t>A211. Organiser des ateliers de concertations régionales pour prioriser et valider les actions publiques.</t>
  </si>
  <si>
    <t>1.      Approfondissement &amp; analyse des contextes à partir de revue documentaire complétée par des entrevues et réunions techniques avec les parties prenantes</t>
  </si>
  <si>
    <t>2.      Mobilisation des acteurs publics et communautaires cibles par les équipes régionales du projet et les Ministères (MJS et MPPSPF).</t>
  </si>
  <si>
    <t>3.      Préparation et conduite des ateliers de concertation dans les régions.</t>
  </si>
  <si>
    <t>A212. Organiser des séances d’informations/formations et mobilisation des jeunes pour les CCAP</t>
  </si>
  <si>
    <t xml:space="preserve">1.      Etablissement des matériels /outils d’informations pour les jeunes adaptés aux thématiques/contextes régionaux </t>
  </si>
  <si>
    <t>2.      Conduite de séances informations (Ateliers et/ou séances en ligne via les réseaux sociaux) pour les jeunes.</t>
  </si>
  <si>
    <t xml:space="preserve">3.      Sensibilisation/Mobilisation communautaire et via les media pour l’engagement des OSC, citoyens/jeunes dans la mise en œuvre du CCAP  </t>
  </si>
  <si>
    <t xml:space="preserve">Produit 2.2 Contrôles citoyens des actions publiques mis en œuvre </t>
  </si>
  <si>
    <t>A221.Capitaliser les acquis nationaux/internationaux et élaborer les outils/guide de formation de CCAP.</t>
  </si>
  <si>
    <t>1.      Inventaire des outils existants au niveau national et international</t>
  </si>
  <si>
    <t xml:space="preserve">2.      Atelier de capitalisation des acquis nationaux/internationaux notamment l’ECB[1] et le BQP[2] déjà appliqués et éprouvés par MSIS-Tatao. </t>
  </si>
  <si>
    <t>3.      Elaboration des outils/guide Tafita[3] de formation d’un CCAP</t>
  </si>
  <si>
    <t>4.      Atelier de restitution et de validation des outils/guide de formation d’un CCAP</t>
  </si>
  <si>
    <t>A222.Conduire des séances de formation pour les jeunes Safidy</t>
  </si>
  <si>
    <t xml:space="preserve">A223.Organiser et accompagner les jeunes dans les CCAP et diffuser les résultats </t>
  </si>
  <si>
    <t>2.    Suivi-observation par les RSOAP-Tafita des réalités dans la mise en œuvre des prestations au niveau des services publics dans les districts/communes par rapport aux risques de conflit</t>
  </si>
  <si>
    <t xml:space="preserve">Produit 3.1 Campagnes de plaidoyers et recours faits par les jeunes considérés par les autorités/décideurs </t>
  </si>
  <si>
    <t>A311. Elaborer des guides/outils et conduire des formations en plaidoyers et recours pour les jeunes</t>
  </si>
  <si>
    <t xml:space="preserve">1.    Conception et élaboration des guides / outils, conduite d’un atelier de validation de guide de plaidoyer et de recours </t>
  </si>
  <si>
    <t>2.    Elaboration des outils, plans et curricula de formation à partir du guide élaboré</t>
  </si>
  <si>
    <t>3.    Conduite des formations en plaidoyer et recours incluant l’élaboration des plans de plaidoyer et évaluation des formations.</t>
  </si>
  <si>
    <t>A312. Accompagner les jeunes dans la mise en œuvre de leur campagne de plaidoyers et organiser des dialogues avec les autorités/décideurs</t>
  </si>
  <si>
    <t>1.    Mise en œuvre de plans de plaidoyer par les jeunes notamment à travers la planification et l’organisation de dialogues avec les autorités/décideurs</t>
  </si>
  <si>
    <t>2.    Accompagnement, encadrement, coaching et suivi des campagnes de plaidoyer des jeunes</t>
  </si>
  <si>
    <t>A313. Accompagner les jeunes à  déposer des recours auprès des Institutions</t>
  </si>
  <si>
    <t>Juristes partenaires</t>
  </si>
  <si>
    <t>2.    Suivi des recours faits par les jeunes auprès des autorités/décideurs compétents.</t>
  </si>
  <si>
    <t xml:space="preserve">1.    Renforcer le leadership, le réseautage &amp; la visibilité des jeunes LA et défenseurs de la paix </t>
  </si>
  <si>
    <t xml:space="preserve">3.    Mettre en œuvre des actions d’accompagnement et de prise en charge socio-économique des JLA/DDP (compensation de pertes de revenus, accompagnement psycho-sociale, prise en charge sanitaire)  </t>
  </si>
  <si>
    <t>Produit 3.2Actions communautaires de prévention et de réduction des risques de conflits mises en œuvre</t>
  </si>
  <si>
    <t>A321.Conduire des formations pour les jeunes dans l’élaboration de projets  de prévention des conflits adressant les recommandations des SAP-PC/ CCAP</t>
  </si>
  <si>
    <t>1.      Elaboration des outils, plans et curricula de formation en leadership, développement et gestion de projet</t>
  </si>
  <si>
    <t>2.      Conduite des formations en leadership, développement et gestion de projet et évaluation des formations.</t>
  </si>
  <si>
    <t>A322 Fournir des subventions, superviser/suivre les projets de prévention/résolution de conflits réalisés par les jeunes (Jeunes dans les structures/mécanismes de concertations, événements sportifs/Culturels suscitant les échanges et l’inclusion, réinsertion des jeunes victimes/à risques)</t>
  </si>
  <si>
    <t xml:space="preserve">A323. Organiser des visites-échanges entre les jeunes. </t>
  </si>
  <si>
    <t>Cours dollar</t>
  </si>
  <si>
    <t>Communications-médias</t>
  </si>
  <si>
    <t>Annonce radio</t>
  </si>
  <si>
    <t>Boost réseaux sociaux</t>
  </si>
  <si>
    <t>Diffusion spot radio</t>
  </si>
  <si>
    <t>Diffusion spot tv</t>
  </si>
  <si>
    <t>Coproduction émissions/reportages radio</t>
  </si>
  <si>
    <t>Coproduction émissions/reportages tv regions</t>
  </si>
  <si>
    <t>Coproduction émissions/reportages tv national</t>
  </si>
  <si>
    <t>Infographiste (jr/H)</t>
  </si>
  <si>
    <t>Conception spots audiovisuels</t>
  </si>
  <si>
    <t>Photos ou dessins (unité)</t>
  </si>
  <si>
    <t>Goodies (t-dshirt, casquettes, etc.)</t>
  </si>
  <si>
    <t>Documents couleurs (page)</t>
  </si>
  <si>
    <t>Documents noir et blanc (page)</t>
  </si>
  <si>
    <t>Affiches (grand nombre)</t>
  </si>
  <si>
    <t>Dépliants (grand nombre)</t>
  </si>
  <si>
    <t>Formations</t>
  </si>
  <si>
    <t>Indemnités des formateurs des observateurs</t>
  </si>
  <si>
    <t>Etudes - enquêtes</t>
  </si>
  <si>
    <t>Atelier national</t>
  </si>
  <si>
    <t>Atelier régional</t>
  </si>
  <si>
    <t>Frais de connexion apprenants</t>
  </si>
  <si>
    <t>Equipe observation</t>
  </si>
  <si>
    <t>Indemnités RSOD/TAD (base 5 jours/mois)</t>
  </si>
  <si>
    <t>IndemnitésRSOC (base 5 jours/mois)</t>
  </si>
  <si>
    <t>Indemnités call center</t>
  </si>
  <si>
    <t>Envois sms obs-&gt;equipe</t>
  </si>
  <si>
    <t>NTIC / système d'information</t>
  </si>
  <si>
    <t>Plaidoyer et recours</t>
  </si>
  <si>
    <t>Délais de route</t>
  </si>
  <si>
    <t>Atelier district</t>
  </si>
  <si>
    <t>4. Conduite de séance d’information et de sensibilisation des TAD/RSOD (présentiel et en ligne)</t>
  </si>
  <si>
    <t>1. Ateliers régionaux d’information et de mobilisation des acteurs régionaux</t>
  </si>
  <si>
    <r>
      <t xml:space="preserve">1. </t>
    </r>
    <r>
      <rPr>
        <sz val="10"/>
        <color rgb="FF000000"/>
        <rFont val="Arial"/>
        <family val="2"/>
      </rPr>
      <t>Identification de groupes/organisations de jeunes engagés via Safidy et autres réseaux initiatives pour sélection RSOD et RSOC</t>
    </r>
  </si>
  <si>
    <t>Resultat 1</t>
  </si>
  <si>
    <t>Resultat 2</t>
  </si>
  <si>
    <t>3.    Mise en œuvre de la formation des jeunes observateurs sélectionnés/recrutés</t>
  </si>
  <si>
    <t>Resultat 3</t>
  </si>
  <si>
    <t xml:space="preserve">1.    Appui des jeunes dans la rédaction et dépôt de recours selon le guide et avec l’appui de juristes partenaires (Avocats et/ou Magistrats bénévoles) </t>
  </si>
  <si>
    <t>2.    Renforcer l’accompagnement juridique des Jeunes LA et DDP à travers l’appui des juristes partenaires et autres Institutions DH</t>
  </si>
  <si>
    <t>Total activités</t>
  </si>
  <si>
    <t>PNUD
(budget en USD)</t>
  </si>
  <si>
    <t>MSIS-tatao
(budget en USD)</t>
  </si>
  <si>
    <t>Résultats, Produits et Actvités</t>
  </si>
  <si>
    <t>%</t>
  </si>
  <si>
    <t>Montant</t>
  </si>
  <si>
    <t>PNUD</t>
  </si>
  <si>
    <t>MSIS</t>
  </si>
  <si>
    <r>
      <t>Produit 1.2</t>
    </r>
    <r>
      <rPr>
        <sz val="12"/>
        <color rgb="FF000000"/>
        <rFont val="Times New Roman"/>
        <family val="1"/>
      </rPr>
      <t xml:space="preserve">. </t>
    </r>
    <r>
      <rPr>
        <b/>
        <sz val="12"/>
        <color rgb="FF000000"/>
        <rFont val="Times New Roman"/>
        <family val="1"/>
      </rPr>
      <t>Le SAP-PC sont  opérationnels au niveau de l’Observatoire</t>
    </r>
  </si>
  <si>
    <t xml:space="preserve">1.    Mise en place de centre d’appel et opérationnalisation à travers l’engagement des jeunes Agents/Superviseurs d’appel. Ce sont les jeunes RSOD et RSOC et quelques acteurs communautaires échantillonnés et représentatifs qui sont appelés pour fournir leurs constats via des fiches/questionnaires pré-établis. </t>
  </si>
  <si>
    <t>2.    Suivi-observation par les RSOD et RSOC des réalités sur terrain par rapport aux facteurs/risques de conflit</t>
  </si>
  <si>
    <t>3.    Production et dissémination des rapports SAP-PC (Atelier/Réunions techniques de plaidoyer et concertation/mobilisation avec les autorités régionales/locales ; Atelier semestriel de dissémination).</t>
  </si>
  <si>
    <t xml:space="preserve">2.    Elaboration des critères de sélection des jeunes observateurs CCAP et AMI  lancé auprès des participants/jeunes sensibilisés et ayant bénéficié des formations générales (A112), sélection/recrutement et répartition des jeunes observateurs CCAP </t>
  </si>
  <si>
    <t>TOTAL GENERAL</t>
  </si>
  <si>
    <t>COUT INDIRECT</t>
  </si>
  <si>
    <t>TOTAL COUT DIRECT</t>
  </si>
  <si>
    <t xml:space="preserve">3.    Production et dissémination des rapports CCAP (Atelier/Réunions techniques de plaidoyer auprès des autorités régionales/locales ; Atelier semestriel de dissémination) </t>
  </si>
  <si>
    <t>Sensibiliser/éduquer les jeunes sur différentes thématiques/messages de prévention de conflits</t>
  </si>
  <si>
    <t>Conduire des séances de formations générales pour les jeunes sur la consolidation de la paix, le SAP-PC  (et le CCAP)</t>
  </si>
  <si>
    <t>Conduire des séances d’informations et de mobilisation des acteurs effectués par les jeunes au niveau district et au niveau régional</t>
  </si>
  <si>
    <t>Produit 1.1 Jeunes/OSC du Réseau SAFIDY et les acteurs institutionnels formés et outillés sur le SAP-PC</t>
  </si>
  <si>
    <t>Organiser/répartir et déployer les jeunes observateurs avec les outils</t>
  </si>
  <si>
    <t xml:space="preserve">Conduire et rapporter le SAP-PC (Suivi-Observation régulier/trimestriel, Alertes selon événements par les Observateurs, Signalements/numéros verts par les citoyens) et diffuser les résultats. </t>
  </si>
  <si>
    <t>Organiser des séances d’informations/formations et mobilisation des jeunes pour les CCAP</t>
  </si>
  <si>
    <t>Capitaliser les acquis nationaux/internationaux et élaborer les outils/guide de formation de CCAP.</t>
  </si>
  <si>
    <t>Conduire des séances de formation pour les jeunes Safidy</t>
  </si>
  <si>
    <t>Organiser et accompagner les jeunes dans les CCAP et diffuser les résultats</t>
  </si>
  <si>
    <t>Elaborer des guides/outils et conduire des formations en plaidoyers et recours pour les jeunes</t>
  </si>
  <si>
    <t>Accompagner les jeunes dans la mise en œuvre de leur campagne de plaidoyers et organiser des dialogues avec les autorités/décideurs</t>
  </si>
  <si>
    <t>Accompagner les jeunes à  déposer des recours auprès des Institutions</t>
  </si>
  <si>
    <t>Opérationnaliser le mécanisme de protection des jeunes LA et défenseurs de la paix</t>
  </si>
  <si>
    <t>Organiser des visites-échanges entre les jeunes</t>
  </si>
  <si>
    <t>Conduire des formations pour les jeunes et les autres acteurs communataires dans l’élaboration de projets  de prévention des conflits adressant les recommandations des SAP-PC/ CCAP</t>
  </si>
  <si>
    <t>Organiser des ateliers de concertations régionales pour prioriser et valider les actions publiques.</t>
  </si>
  <si>
    <t>Jeunes/OSC du Réseau SAFIDY et les acteurs institutionnels formés et outillés sur le SAP-PC</t>
  </si>
  <si>
    <t>Le SAP-PC sont  opérationnels au niveau de l’Observatoire</t>
  </si>
  <si>
    <t xml:space="preserve">Contrôles citoyens des actions publiques mis en œuvre </t>
  </si>
  <si>
    <t xml:space="preserve">Campagnes de plaidoyers et recours faits par les jeunes considérés par les autorités/décideurs </t>
  </si>
  <si>
    <t>Actions communautaires de prévention et de réduction des risques de conflits mises en œuvre</t>
  </si>
  <si>
    <t>Fournir des subventions, superviser/suivre les projets de prévention/résolution de conflits réalisés par les jeunes etn collaboration avec les autres acteurs communautaires (Jeunes dans les structures/mécanismes de concertations, événements sportifs/Culturels suscitant les échanges et l’inclusion, etc.)</t>
  </si>
  <si>
    <t>Les jeunes dans l’Observatoire Safidy mettent en place un système d’alerte précoce et de prévention des risques de conflits (SAP-PC)</t>
  </si>
  <si>
    <t xml:space="preserve">Les jeunes sont engagés dans les contrôles citoyens des actions publiques (CCAP) en faveur de la paix. </t>
  </si>
  <si>
    <t xml:space="preserve"> Thématiques d’actions publiques à contrôler et à renforcer définies</t>
  </si>
  <si>
    <t>Les plaidoyers, recours et actions de réponses aux risques de conflits portés par les jeunes ou structurés autour des jeunes sont renforcés</t>
  </si>
  <si>
    <t>Mise en place et opérationnalisation de Cellules de veilles pour prendre les décisions/mesures de réponses par rapport au SAP-PC</t>
  </si>
  <si>
    <t>A123.Mise en place et opérationnalisation de Cellules de veilles pour prendre les décisions/mesures de réponses par rapport au SAP-PC</t>
  </si>
  <si>
    <t>Elaborer, suivre et appuyer la mise en œuvre par les jeunes et les Institutions partenaires des plans de renforcement des capacités suite aux résultats de CCAP</t>
  </si>
  <si>
    <t>A224. Elaborer, suivre et appuyer la mise en œuvre par les jeunes et les Institutions partenaires des plans de renforcement des capacités suite aux résultats de CCAP</t>
  </si>
  <si>
    <t>Appuyer les Institutions/Acteurs concernés à mieux traiter et répondre aux plaidoyers et recours faits par les jeunes</t>
  </si>
  <si>
    <t>A314. Appuyer les Institutions/Acteurs concernés à mieux traiter et répondre aux plaidoyers et recours faits par les jeunes</t>
  </si>
  <si>
    <t>A315. Opérationnaliser le mécanisme de protection des jeunes LA et défenseurs de la paix.</t>
  </si>
  <si>
    <t>Conduire une étude sur les facteurs de conflits et les rôles des femmes dans les résolutions des conflits</t>
  </si>
  <si>
    <t>Annexe D - Rapport Financier du projet PBF</t>
  </si>
  <si>
    <t>MSIS TATAO</t>
  </si>
  <si>
    <t>Notes quelconque le cas echeant (.e.g sur types des entrants ou justification du budget)</t>
  </si>
  <si>
    <t>TOTAL PROJET</t>
  </si>
  <si>
    <t>Budget</t>
  </si>
  <si>
    <t>TAUX D'EXECUTION DE MSIS TATAO</t>
  </si>
  <si>
    <t>Dépenses</t>
  </si>
  <si>
    <t>Reliquat</t>
  </si>
  <si>
    <t>Virement 1ere tranche</t>
  </si>
  <si>
    <t>BUDGET DU PROJET</t>
  </si>
  <si>
    <t>TAUX D'EXECUTION DE PNUD</t>
  </si>
  <si>
    <t>TAUX D'EXECUTION DE PROJET</t>
  </si>
  <si>
    <t>Taux d'execution</t>
  </si>
  <si>
    <t>Depenses</t>
  </si>
  <si>
    <t>1er virement (65%) par rapp au budget</t>
  </si>
  <si>
    <t>Budget du projet</t>
  </si>
  <si>
    <t>Niveau de depense/ engagement actuel en USD  - MSIS TATAO</t>
  </si>
  <si>
    <t xml:space="preserve">Niveau de depense TOTAL/ engagement actuel en USD  </t>
  </si>
  <si>
    <t>BUDGET</t>
  </si>
  <si>
    <t>DEPENSE</t>
  </si>
  <si>
    <t>Total Budget</t>
  </si>
  <si>
    <t>DEPENSE PNUD</t>
  </si>
  <si>
    <t>DEPENSE MSIS-TATAO</t>
  </si>
  <si>
    <t>DEPENSE TOTAL</t>
  </si>
  <si>
    <t>RESULTAT 1</t>
  </si>
  <si>
    <t>Produit 1.1</t>
  </si>
  <si>
    <t>Total pour produit 1.1 (du tableau 1)</t>
  </si>
  <si>
    <t>1. Personnel et autres employés</t>
  </si>
  <si>
    <t>2. Fournitures, produits de base, matériels</t>
  </si>
  <si>
    <t>3. Équipement, véhicules et mobilier (compte tenu de la dépréciation)</t>
  </si>
  <si>
    <t>4. Services contractuels</t>
  </si>
  <si>
    <t>5. Frais de déplacement</t>
  </si>
  <si>
    <t>6. Transferts et subventions aux homologues</t>
  </si>
  <si>
    <t>7. Frais généraux de fonctionnement et autres coûts directs</t>
  </si>
  <si>
    <t xml:space="preserve">Total </t>
  </si>
  <si>
    <t>Produit 1.2</t>
  </si>
  <si>
    <t>Total pour produit 1.2 (du tableau 1)</t>
  </si>
  <si>
    <t>RESULTAT 2</t>
  </si>
  <si>
    <t>Total pour produit 2.1 (du tableau 1)</t>
  </si>
  <si>
    <t>Total pour produit 2.2 (du tableau 1)</t>
  </si>
  <si>
    <t>RESULTAT 3</t>
  </si>
  <si>
    <t>Total pour produit 3.1 (du tableau 1)</t>
  </si>
  <si>
    <t>Produit 3.2</t>
  </si>
  <si>
    <t>Total pour produit 3.2 (du tableau 1)</t>
  </si>
  <si>
    <t xml:space="preserve">Coûts supplémentaires </t>
  </si>
  <si>
    <t>Total des coûts supplémentaires (du tableau 1)</t>
  </si>
  <si>
    <t>TOTAL</t>
  </si>
  <si>
    <t>For MPTFO Use</t>
  </si>
  <si>
    <t>Totals</t>
  </si>
  <si>
    <t>1. Staff and other personnel</t>
  </si>
  <si>
    <t>2. Supplies, Commodities, Materials</t>
  </si>
  <si>
    <t>3. Equipment, Vehicles, and Furniture (including Depreciation)</t>
  </si>
  <si>
    <t>4. Contractual services</t>
  </si>
  <si>
    <t>5. Travel</t>
  </si>
  <si>
    <t>6. Transfers and Grants to Counterparts</t>
  </si>
  <si>
    <t>7. General Operating and other Costs</t>
  </si>
  <si>
    <t xml:space="preserve">Sub-Total </t>
  </si>
  <si>
    <t>7% Indirect Costs</t>
  </si>
  <si>
    <t>Performance-Based Tranche Breakdown</t>
  </si>
  <si>
    <t>First Tranche:</t>
  </si>
  <si>
    <t>Second Tranche:</t>
  </si>
  <si>
    <t>Third Tranche:</t>
  </si>
  <si>
    <t>PNUD AND MSIS TATAO</t>
  </si>
  <si>
    <t>EXPECTED OUTPUTS</t>
  </si>
  <si>
    <t>PLANNED ACTIVITIES</t>
  </si>
  <si>
    <t>TIMEFRAME</t>
  </si>
  <si>
    <t>RESPONSIBLE PARTY</t>
  </si>
  <si>
    <t>PLANNED BUDGET</t>
  </si>
  <si>
    <t>And baseline, associated indicators and annual targets</t>
  </si>
  <si>
    <t xml:space="preserve">List activity and associated actions </t>
  </si>
  <si>
    <t>Q1</t>
  </si>
  <si>
    <t>Q2</t>
  </si>
  <si>
    <t>Q3</t>
  </si>
  <si>
    <t>Q4</t>
  </si>
  <si>
    <t>Q5</t>
  </si>
  <si>
    <t>Q6</t>
  </si>
  <si>
    <t>Met en œuvre</t>
  </si>
  <si>
    <t>Funding Source</t>
  </si>
  <si>
    <t>Budget Description</t>
  </si>
  <si>
    <t>Amount</t>
  </si>
  <si>
    <t>Résultat 1 : Les jeunes dans l’Observatoire Safidy mettent en place un système d’alerte précoce et de prévention des risques de conflits (SAP-PC).</t>
  </si>
  <si>
    <r>
      <t>Produit 1.1.</t>
    </r>
    <r>
      <rPr>
        <sz val="11"/>
        <color rgb="FF000000"/>
        <rFont val="Arial"/>
        <family val="2"/>
      </rPr>
      <t xml:space="preserve"> </t>
    </r>
  </si>
  <si>
    <r>
      <t>Activité 1.1.1:</t>
    </r>
    <r>
      <rPr>
        <sz val="11"/>
        <color rgb="FF000000"/>
        <rFont val="Arial"/>
        <family val="2"/>
      </rPr>
      <t xml:space="preserve"> </t>
    </r>
    <r>
      <rPr>
        <sz val="9"/>
        <color rgb="FF000000"/>
        <rFont val="Arial Narrow"/>
        <family val="2"/>
      </rPr>
      <t>Conduire une étude sur les facteurs de conflits et les rôles des femmes dans la résolution de conflits</t>
    </r>
  </si>
  <si>
    <t>Action 1.1.1.1: Identification et sélection prestataire</t>
  </si>
  <si>
    <t>X</t>
  </si>
  <si>
    <t>Groupe de consultants (int + nt)</t>
  </si>
  <si>
    <t>PBF</t>
  </si>
  <si>
    <t>71200 - Intl Consultants</t>
  </si>
  <si>
    <t>Jeunes/OSC du Réseau SAFIDY et acteurs formés et outillés sur le SAP-PC</t>
  </si>
  <si>
    <t xml:space="preserve">Indicateur 1.1.1. Nombre d’Organisations ou Groupes de jeunes sensibilisé et engagés pour le SAP-PC de l’observatoire de la paix </t>
  </si>
  <si>
    <t>Livrable : Rapport d’études</t>
  </si>
  <si>
    <t>Action 1.1.1.2: Mise en œuvre de l’étude</t>
  </si>
  <si>
    <t>Niveau de référence : 0</t>
  </si>
  <si>
    <r>
      <t>Activité 1.1.2 :</t>
    </r>
    <r>
      <rPr>
        <sz val="11"/>
        <color rgb="FF000000"/>
        <rFont val="Arial"/>
        <family val="2"/>
      </rPr>
      <t xml:space="preserve"> </t>
    </r>
    <r>
      <rPr>
        <sz val="9"/>
        <color rgb="FF000000"/>
        <rFont val="Arial Narrow"/>
        <family val="2"/>
      </rPr>
      <t>Sensibiliser/éduquer les communautés et les jeunes sur différentes thématiques/messages de prévention de conflits.</t>
    </r>
  </si>
  <si>
    <t>Action 1.1.2.1: Identification de groupes/organisations de jeunes engagés via Safidy et autres réseaux et initiatives ;</t>
  </si>
  <si>
    <t xml:space="preserve">PNUD </t>
  </si>
  <si>
    <t>ONG RAVINTSARA - Grants</t>
  </si>
  <si>
    <t>72600 - Grants</t>
  </si>
  <si>
    <t>Cible : = 22*10 = 220</t>
  </si>
  <si>
    <t xml:space="preserve">    </t>
  </si>
  <si>
    <r>
      <t>Action 1.1.2.2:</t>
    </r>
    <r>
      <rPr>
        <sz val="11"/>
        <color rgb="FF000000"/>
        <rFont val="Arial"/>
        <family val="2"/>
      </rPr>
      <t xml:space="preserve"> </t>
    </r>
    <r>
      <rPr>
        <sz val="9"/>
        <color rgb="FF000000"/>
        <rFont val="Arial Narrow"/>
        <family val="2"/>
      </rPr>
      <t>Analyses/consultations préalables avec les parties prenantes et les groupes de jeunes dans les régions concernées par élaboration d’ébauche de plan de communication</t>
    </r>
  </si>
  <si>
    <t>Consultant</t>
  </si>
  <si>
    <t>71300 - Local Consultant</t>
  </si>
  <si>
    <t xml:space="preserve">Livrable : </t>
  </si>
  <si>
    <t>Action 1.1.2.3. Atelier national d’information et d’élaboration/validation de plan de communication</t>
  </si>
  <si>
    <t xml:space="preserve">Service contractuel   </t>
  </si>
  <si>
    <t>Service Contractue,
Equipements, Fournitures</t>
  </si>
  <si>
    <t>Related CPD outcome:</t>
  </si>
  <si>
    <t>Plan d’éducation et de communication</t>
  </si>
  <si>
    <t>Action 1.1.2.4. Conduite de séance d’information et de sensibilisation des TAD/RSOD  (présentiel et en ligne)</t>
  </si>
  <si>
    <t xml:space="preserve">Sifaka via grants pour émissions en ligne de sensibilisation 
</t>
  </si>
  <si>
    <t>OSC Ravintsara pour conduite des séances d'information communautaires (grants)</t>
  </si>
  <si>
    <t>Rapport d’activités d’éducation et de communication</t>
  </si>
  <si>
    <t>Action 1.1.2.5. Planification et mise en œuvre d’activités d’éducation sur les facteurs de conflits et l’importance et nécessité du SAP-PC pour les TAK/RSOC + autres organisations de jeunes et femmes</t>
  </si>
  <si>
    <t xml:space="preserve">ONG Ravintsara Grants pour les activités communautaires 
</t>
  </si>
  <si>
    <t>SIFAKA/Hirondelle pour les actions de sensibilisation MEDIA</t>
  </si>
  <si>
    <r>
      <t>Activité 1.1.3 :</t>
    </r>
    <r>
      <rPr>
        <sz val="11"/>
        <color rgb="FF000000"/>
        <rFont val="Arial"/>
        <family val="2"/>
      </rPr>
      <t xml:space="preserve"> </t>
    </r>
    <r>
      <rPr>
        <sz val="9"/>
        <color rgb="FF000000"/>
        <rFont val="Arial Narrow"/>
        <family val="2"/>
      </rPr>
      <t>Conduire des séances de formations générales pour les jeunes sur la consolidation de la paix, le SAP-PC (et le CCAP)</t>
    </r>
  </si>
  <si>
    <t>Action 1.1.3.1: Capitalisation des acquis nationaux/internationaux et élaboration d’outils/guide de formation d’un SAP-PC à travers un consultant qui va faire l’inventaire des outils existants et l’élaboration de draft d’outils/guide</t>
  </si>
  <si>
    <t xml:space="preserve">PNUD
</t>
  </si>
  <si>
    <t>Services Contractuels pour Ateliers</t>
  </si>
  <si>
    <t>Services Contracts pour Consultants</t>
  </si>
  <si>
    <t>Action 1.1.3.2: Atelier de restitution et de validation des outils/guide de formation générale d’un SAP-PC</t>
  </si>
  <si>
    <t>Consultant International</t>
  </si>
  <si>
    <t>Déplacements, matériels et fourniture</t>
  </si>
  <si>
    <t>Livrable :</t>
  </si>
  <si>
    <t>Action 1.1.3.3: Conduite de FdF pour les RSOD/TAD qui vont assurer la mise en œuvre du SAP-PC au niveau régions et districts et former/superviser les RSOC/TAK</t>
  </si>
  <si>
    <t>Services Contractuels pour Consultant formateur et Organisation des Ateliers</t>
  </si>
  <si>
    <t>Action 1.1.3.4. Evaluation des participants à la formation</t>
  </si>
  <si>
    <t>DE, CP, et RTO</t>
  </si>
  <si>
    <r>
      <t>Activité 1.4 :</t>
    </r>
    <r>
      <rPr>
        <sz val="11"/>
        <color rgb="FF000000"/>
        <rFont val="Arial"/>
        <family val="2"/>
      </rPr>
      <t xml:space="preserve"> </t>
    </r>
    <r>
      <rPr>
        <sz val="9"/>
        <color rgb="FF000000"/>
        <rFont val="Arial Narrow"/>
        <family val="2"/>
      </rPr>
      <t>Conduire des séances d’informations et de mobilisation des acteurs effectués par les jeunes au niveau district et au niveau régional</t>
    </r>
  </si>
  <si>
    <r>
      <t>Action 1.4.1:</t>
    </r>
    <r>
      <rPr>
        <sz val="11"/>
        <color rgb="FF000000"/>
        <rFont val="Arial"/>
        <family val="2"/>
      </rPr>
      <t xml:space="preserve"> </t>
    </r>
    <r>
      <rPr>
        <sz val="9"/>
        <color rgb="FF000000"/>
        <rFont val="Arial Narrow"/>
        <family val="2"/>
      </rPr>
      <t>Ateliers régionaux d’information et de mobilisation des acteurs régionaux avec les formations en cascade au niveau des régions pour les RSOC/TAK</t>
    </r>
  </si>
  <si>
    <t>Grants à Ravintsara pour les Ateliers avec les jeunes et acteurs régionaux</t>
  </si>
  <si>
    <t>Action 1.4.2: Restitution/émission media conjointe par les OSC/jeunes et les acteurs/décideurs sur la collaboration pour le déploiement du SAP-PC</t>
  </si>
  <si>
    <t>Grants Hirondelle/SIFAKA</t>
  </si>
  <si>
    <r>
      <t>Produit 1.2:</t>
    </r>
    <r>
      <rPr>
        <sz val="11"/>
        <color rgb="FF000000"/>
        <rFont val="Arial"/>
        <family val="2"/>
      </rPr>
      <t xml:space="preserve"> </t>
    </r>
    <r>
      <rPr>
        <b/>
        <sz val="8"/>
        <color rgb="FF000000"/>
        <rFont val="Arial"/>
        <family val="2"/>
      </rPr>
      <t>Les SAP-PC sont opérationnels au niveau de l’Observatoire</t>
    </r>
  </si>
  <si>
    <r>
      <t>Activité 1.2.1:</t>
    </r>
    <r>
      <rPr>
        <sz val="11"/>
        <color rgb="FF000000"/>
        <rFont val="Arial"/>
        <family val="2"/>
      </rPr>
      <t xml:space="preserve"> </t>
    </r>
    <r>
      <rPr>
        <sz val="9"/>
        <color rgb="FF000000"/>
        <rFont val="Arial Narrow"/>
        <family val="2"/>
      </rPr>
      <t>Organiser/répartir et déployer les jeunes observateurs avec les outils</t>
    </r>
  </si>
  <si>
    <t>Action 1.2.1.1: AMI  lancé auprès des participants/jeunes sensibilisés et ayant bénéficié des formations générales, sélection/recrutement et répartition des jeunes observateurs SAP-PC</t>
  </si>
  <si>
    <t>DE, CP, RTO et RMDJ</t>
  </si>
  <si>
    <t>Baseline:</t>
  </si>
  <si>
    <t>Indicators:</t>
  </si>
  <si>
    <t>Livrable :</t>
  </si>
  <si>
    <t>Action 1.2.1.2. Conception, préparation et élaboration des outils/guide de formation sur les outils et la méthodologie de mise en œuvre du SAP-PC</t>
  </si>
  <si>
    <t>DE, CP, RTO et RMDJ en appui au Consultant SAP-PC recruté par PNUD</t>
  </si>
  <si>
    <t>Targets:</t>
  </si>
  <si>
    <t>Action 1.2.1.3. Mise en œuvre de la formation des jeunes observateurs sélectionnés/recrutés</t>
  </si>
  <si>
    <t xml:space="preserve">Grants Via Ravintsara </t>
  </si>
  <si>
    <r>
      <t>Activité 1.2.2 :</t>
    </r>
    <r>
      <rPr>
        <sz val="11"/>
        <color rgb="FF000000"/>
        <rFont val="Arial"/>
        <family val="2"/>
      </rPr>
      <t xml:space="preserve"> </t>
    </r>
    <r>
      <rPr>
        <sz val="9"/>
        <color rgb="FF000000"/>
        <rFont val="Arial Narrow"/>
        <family val="2"/>
      </rPr>
      <t>Conduire et rapporter le SAP-PC</t>
    </r>
  </si>
  <si>
    <r>
      <t>Action 1.2.2.1:</t>
    </r>
    <r>
      <rPr>
        <sz val="11"/>
        <color rgb="FF000000"/>
        <rFont val="Arial"/>
        <family val="2"/>
      </rPr>
      <t xml:space="preserve"> </t>
    </r>
    <r>
      <rPr>
        <sz val="9"/>
        <color rgb="FF000000"/>
        <rFont val="Arial Narrow"/>
        <family val="2"/>
      </rPr>
      <t>Mise en place et opérationnalisation de la plateforme de signalements par des Numéro verts et réseaux sociaux</t>
    </r>
  </si>
  <si>
    <t>Grants Via Ravintsara + Matériels et équipements</t>
  </si>
  <si>
    <t>Action 1.2.2.2. Suivi-observation par les RSOD et RSOC des réalités sur terrain par rapport aux facteurs/risques de conflit.</t>
  </si>
  <si>
    <t>Action 1.2.2.3. Production et dissémination des rapports SAP-PC (Atelier/Réunions techniques de plaidoyer et concertation/mobilisation avec les autorités régionales/locales; Atelier semestriel de dissémination).</t>
  </si>
  <si>
    <t>DE, CP, RTO et RMDJ en appui des équipes de RAVINTSARA et des Consultants pour 122.</t>
  </si>
  <si>
    <r>
      <t>Activité 1.2.3 :</t>
    </r>
    <r>
      <rPr>
        <sz val="11"/>
        <color rgb="FF000000"/>
        <rFont val="Arial"/>
        <family val="2"/>
      </rPr>
      <t xml:space="preserve"> </t>
    </r>
    <r>
      <rPr>
        <sz val="9"/>
        <color rgb="FF000000"/>
        <rFont val="Arial Narrow"/>
        <family val="2"/>
      </rPr>
      <t>Mise en place et opérationnalisation de Cellules de veilles pour prendre les décisions/mesures de réponses par rapport au SAP-PC</t>
    </r>
  </si>
  <si>
    <t>Action 1.2.3.1. Atelier de mise en place des cellules de veille</t>
  </si>
  <si>
    <t xml:space="preserve">Action 1.2.3.2. Ateliers de réunions techniques </t>
  </si>
  <si>
    <t>DE, CP, RTO et RMDJ en appui des équipes de RAVINTSARA pour 1221 à 1223.</t>
  </si>
  <si>
    <t>Résultat 2 : Les jeunes sont engagés dans les contrôles citoyens des actions publiques (CCAP) en faveur de la paix.</t>
  </si>
  <si>
    <r>
      <t xml:space="preserve">Produit </t>
    </r>
    <r>
      <rPr>
        <b/>
        <i/>
        <sz val="10"/>
        <color rgb="FF000000"/>
        <rFont val="Arial"/>
        <family val="2"/>
      </rPr>
      <t>21. Thématiques des actions publiques à contrôler définies par les jeunes et les différents acteurs de développement</t>
    </r>
  </si>
  <si>
    <t>Activité 2.1.1: Organiser des ateliers de concertations régionales pour prioriser et valider les actions publiques.</t>
  </si>
  <si>
    <t>Action 2.1.1.1 : Approfondissement &amp; analyse des contextes à partir de revue documentaire complétée par des entrevues et réunions techniques avec les parties prenantes</t>
  </si>
  <si>
    <t>ONG IVORARY - Grants</t>
  </si>
  <si>
    <t>Action 2.1.1.2: Mobilisation des acteurs publics et communautaires cibles par les équipes régionales du projet et les Ministères (MJS et MPPSPF).</t>
  </si>
  <si>
    <t>Action 2.1.1.3: Préparation et conduite des ateliers de concertation dans les régions.</t>
  </si>
  <si>
    <r>
      <t>Activité 2.1.2:</t>
    </r>
    <r>
      <rPr>
        <sz val="11"/>
        <color rgb="FF000000"/>
        <rFont val="Arial"/>
        <family val="2"/>
      </rPr>
      <t xml:space="preserve"> </t>
    </r>
    <r>
      <rPr>
        <sz val="9"/>
        <color rgb="FF000000"/>
        <rFont val="Arial Narrow"/>
        <family val="2"/>
      </rPr>
      <t>Organiser des séances d’informations/formations et mobilisation des jeunes pour les CCAP</t>
    </r>
  </si>
  <si>
    <r>
      <t>Action 2.1.2.1:</t>
    </r>
    <r>
      <rPr>
        <sz val="11"/>
        <color rgb="FF000000"/>
        <rFont val="Arial"/>
        <family val="2"/>
      </rPr>
      <t xml:space="preserve"> </t>
    </r>
    <r>
      <rPr>
        <sz val="9"/>
        <color rgb="FF000000"/>
        <rFont val="Arial Narrow"/>
        <family val="2"/>
      </rPr>
      <t>Etablissement des matériels/outils d’informations pour les jeunes adaptés aux thématiques/contextes régionaux</t>
    </r>
  </si>
  <si>
    <t>Déplacements, fournitures, matériels des  DE, RTO, RCE, RMDJ (en appui à IVORARY)</t>
  </si>
  <si>
    <t>Action 2.1.2.2: Conduite de séances informations (Ateliers et/ou séances en ligne via les réseaux sociaux) pour les jeunes</t>
  </si>
  <si>
    <t>SIFAKA - Grants</t>
  </si>
  <si>
    <r>
      <t>Action 2.1.2.3:</t>
    </r>
    <r>
      <rPr>
        <sz val="11"/>
        <color rgb="FF000000"/>
        <rFont val="Arial"/>
        <family val="2"/>
      </rPr>
      <t xml:space="preserve"> </t>
    </r>
    <r>
      <rPr>
        <sz val="9"/>
        <color rgb="FF000000"/>
        <rFont val="Arial Narrow"/>
        <family val="2"/>
      </rPr>
      <t>Sensibilisation/Mobilisation communautaire et via les media pour l’engagement des OSC, citoyens/jeunes dans la mise en œuvre du CCAP</t>
    </r>
  </si>
  <si>
    <t xml:space="preserve">SIFAKA - Grants (Media)
</t>
  </si>
  <si>
    <t>IVORARY Grants (Activités Communautaires)</t>
  </si>
  <si>
    <r>
      <t xml:space="preserve">Produit 2.2. </t>
    </r>
    <r>
      <rPr>
        <b/>
        <i/>
        <sz val="10"/>
        <color rgb="FF000000"/>
        <rFont val="Arial"/>
        <family val="2"/>
      </rPr>
      <t xml:space="preserve">Contrôles citoyens des actions publiques mis en œuvre </t>
    </r>
  </si>
  <si>
    <t>Activité 2.2.1. Elaborer les outils/guide de formation de CCAP</t>
  </si>
  <si>
    <t>Action 2.2.1.1. Inventaire des outils existants au niveau national et international</t>
  </si>
  <si>
    <t xml:space="preserve">MSIS </t>
  </si>
  <si>
    <t>Services Contractuels (Consultant)</t>
  </si>
  <si>
    <t>Action 2.2.1.2. Atelier de capitalisation des acquis nationaux/internationaux notamment l’ECB  et le BQP  déjà appliqués et éprouvés par MSIS-Tatao</t>
  </si>
  <si>
    <t>Action 2.2.1.3. Elaboration des outils/guide Tafita  de formation d’un CCAP</t>
  </si>
  <si>
    <t>Action 2.2.1.4. Atelier de restitution et de validation des outils/guide de formation d’un CCAP</t>
  </si>
  <si>
    <t>Activité 2.2.2. Conduire des séances de formation pour les jeunes</t>
  </si>
  <si>
    <t xml:space="preserve">Action 2.2.2.1. Identification et sélection des participants/jeunes sensibilisés et ayant bénéficié des formations générales (A112), sélection/recrutement et répartition des jeunes observateurs CCAP </t>
  </si>
  <si>
    <t>Services Contract</t>
  </si>
  <si>
    <t>Action 2.2.2.2. Conception, préparation et élaboration des outils/guide de formation sur les outils et la méthodologie de mise en œuvre du Tafita/CCAP</t>
  </si>
  <si>
    <t>Services Contracts</t>
  </si>
  <si>
    <t>Action 2.2.2.3. Mise en œuvre de la formation des jeunes observateurs sélectionnés/recrutés</t>
  </si>
  <si>
    <t>Grants SAFIDY</t>
  </si>
  <si>
    <t>Activité 2.2.3. Organiser et accompagner les jeunes dans les CCAP et diffuser les résultats</t>
  </si>
  <si>
    <t>Action 2.2.3.1. Mise en place de centre d’appel et opérationnalisation à travers l’engagement des jeunes Agents/Superviseurs d’appel. Ce sont les RSOAP et les Représentants des prestataires/autorités délivrant les services publics qui sont appelés</t>
  </si>
  <si>
    <t>Action 2.2.3.2. Suivi-observation par les RSOAP-Tafita des réalités dans la mise en œuvre des prestations au niveau des services/actions publiques dans les districts/communes par rapport aux risques de conflit et production et dissémination des rapports (Atelier semestriel de dissémination)</t>
  </si>
  <si>
    <t>Action 2.2.3.3. Organisation d’ateliers et de réunions techniques de plaidoyer auprès des autorités régionales/locales</t>
  </si>
  <si>
    <t>Services Contractuels &amp; Déplacements</t>
  </si>
  <si>
    <t xml:space="preserve">Activité 224. Elaborer, suivre et appuyer la mise en œuvre par les jeunes et les Institutions partenaires des plans de renforcement des capacités suite aux résultats de CCAP </t>
  </si>
  <si>
    <t>Action 2.2.4.1. Atelier d’élaboration de plans de renforcement des capacités par les Institutions/autorités et les bénéficiaires/jeunes pour amélioration continue des actions publiques en faveur de la consolidation de la paix.</t>
  </si>
  <si>
    <t>Services Contractuels, Déplacements, Fournitures et matériels</t>
  </si>
  <si>
    <t>Action 2.2.4.2. Mise en place de Comité et suivi conjoint (Autorités/Institutions et OSC/jeunes) de  la mise en œuvre des activités des plans de renforcement des capacités (Certains activités seraient appuyées dans les projets de plaidoyers ou d’actions communautaires des Produits 3.1 et 3.2)</t>
  </si>
  <si>
    <t>Résultat 3 : Les plaidoyers, recours et actions de réponses aux risques de conflits portés et mis en œuvre par les jeunes en collaboration avec les acteurs communautaires sont renforcés</t>
  </si>
  <si>
    <t>Produit 31. Campagnes de plaidoyers et recours faits par les jeunes considérés par les autorités/décideurs</t>
  </si>
  <si>
    <t>Activité 3.1.1. Elaborer de guide/outils et conduire des formations en plaidoyers et recours pour les jeunes</t>
  </si>
  <si>
    <t xml:space="preserve">Action 311.1. Conception et élaboration des guides / outils, conduite d’un atelier de validation de guide de plaidoyer et de recours en capitalisant le guide des plaidoyers déjà disponible auprès du MJS </t>
  </si>
  <si>
    <t>Intl consultant (même équipe que pour étude P1.1)</t>
  </si>
  <si>
    <t>Equipements, Forunitures, Déplacements</t>
  </si>
  <si>
    <t>Action 311.2. Elaboration des outils, plans et curricula de formation à partir du guide élaboré</t>
  </si>
  <si>
    <t>Action 311.3. Conduite des formations en plaidoyer et recours incluant l’élaboration des plans de plaidoyer et évaluation des formations y compris une communication, présentations dans le médias</t>
  </si>
  <si>
    <t>Sifaka via Grants pour communication média</t>
  </si>
  <si>
    <t xml:space="preserve">Activité 3.1.2. Accompagner la mise en œuvre des campagnes de plaidoyers des jeunes </t>
  </si>
  <si>
    <t>Action 3.1.2.1. Mise en œuvre de plans de plaidoyer par les jeunes notamment à travers la planification et l’organisation de dialogues avec les autorités/décideurs</t>
  </si>
  <si>
    <t>AVG via  Grants</t>
  </si>
  <si>
    <t>Sifaka grants</t>
  </si>
  <si>
    <t>Action 3.1.2.2. Accompagnement, encadrement, coaching et suivi des campagnes de plaidoyer des jeunes</t>
  </si>
  <si>
    <t xml:space="preserve">AVG via  Grants </t>
  </si>
  <si>
    <t>Activité 313. Accompagner les jeunes à déposer des recours auprès des Institutions</t>
  </si>
  <si>
    <t xml:space="preserve">Action 313.1. Appui des jeunes dans la rédaction et dépôt de recours selon le guide et avec l’appui de juristes partenaires (Avocats ou Magistrats bénévoles) </t>
  </si>
  <si>
    <t>Action 313.2. Suivi des recours faits par les jeunes auprès des autorités/décideurs compétents.</t>
  </si>
  <si>
    <t>Activité 314. Appuyer les Institutions/Acteurs concernés à mieux traiter et répondre aux plaidoyers et recours faits par les jeunes</t>
  </si>
  <si>
    <t xml:space="preserve">Action 314.1. Organiser un Atelier avec les Institutions/Acteurs pour définir les mesures et outils de communication, de traitement des plaidoyers/recours faits par les jeunes (y compris la mise en place d’espaces/instances de participation des OSC/Jeunes)  </t>
  </si>
  <si>
    <t>Services Contractuel (Infographiste)</t>
  </si>
  <si>
    <t>Action 314.2. Organiser des dialogues réguliers entre les autorités/décideurs et les OSC/jeunes</t>
  </si>
  <si>
    <t>Sifaka : Grnats (organisation de débats publics)</t>
  </si>
  <si>
    <t>Activité 315. Opérationnaliser le mécanisme de protection des jeunes LA et défenseurs de la paix.</t>
  </si>
  <si>
    <t xml:space="preserve">Action 315.1. Renforcer le leadership, le réseautage &amp; la visibilité des jeunes LA et défenseurs de la paix </t>
  </si>
  <si>
    <t>AVG Grants</t>
  </si>
  <si>
    <t>Action 315.2. Renforcer l’accompagnement juridique des Jeunes LA et DDP à travers l’appui des juristes partenaires</t>
  </si>
  <si>
    <t xml:space="preserve">Action 315.3. Mettre en œuvre des actions d’accompagnement et de prise en charge socio-économique des JLA/DDP (compensation de pertes de revenus, accompagnement psycho-sociale, prise en charge sanitaire)  </t>
  </si>
  <si>
    <t>Activité 321.Conduire des formations pour les jeunes et les acteurs partenaires dans l’élaboration de projets pour adresser les recommandations des SAP-PC et CCAP</t>
  </si>
  <si>
    <t>Action 321.1. Elaboration des outils, plans et curricula de formation en leadership, développement et gestion de projet</t>
  </si>
  <si>
    <t>Service Contracts (Consultant)</t>
  </si>
  <si>
    <t>Action 321.2. Conduite des formations en leadership, développement et gestion de projet et évaluation des formations.</t>
  </si>
  <si>
    <t xml:space="preserve">
Services Contract (Consultants) et
ONG AIM Grants</t>
  </si>
  <si>
    <t>Services contracts (Assist Plaidoyer), Equipements, Fournitures</t>
  </si>
  <si>
    <t>Activité 322. Fournir des subventions, superviser/suivre les projets de prévention/résolution de conflits réalisés par les jeunes notamment ceux facilitant les interactions comme leur engagement dans structures/mécanismes de concertations, les échanges à travers des événements sportifs/Culturels, l’inclusion par la protection des jeunes victimes/à risques des conflits, ou des JLA, etc.</t>
  </si>
  <si>
    <t>Action 322.1. Sélection et accompagnement du montage des projets</t>
  </si>
  <si>
    <t>AIM via Grants</t>
  </si>
  <si>
    <t>Action 322. Suivi et Accompagnement de la mise en œuvre des projets</t>
  </si>
  <si>
    <t>AIM via Grants/
Réseaux jeunes TATAO grants</t>
  </si>
  <si>
    <t>A323. Organiser des visites-échanges entre les jeunes qui participent dans les mécanismes SAP-PC, CCAP et mettant en œuvre des projets de prévention des conflits.</t>
  </si>
  <si>
    <t>Activités du projet R1, R2, R3</t>
  </si>
  <si>
    <t>Gestion du Projet</t>
  </si>
  <si>
    <t>Charges de fonctionnement :</t>
  </si>
  <si>
    <t>Cout de personnel du projet si pas inclus dans les activités ci-dessus</t>
  </si>
  <si>
    <t>Salaire staff, DPC, Charges locatives, Admin fourniture et matériel de bureau, équipement informatique, etc…</t>
  </si>
  <si>
    <t>Couts opérationnels si pas inclus dans les activités ci-dessus</t>
  </si>
  <si>
    <t>72100 - Contractual Services</t>
  </si>
  <si>
    <t xml:space="preserve">Indicateurs : </t>
  </si>
  <si>
    <t>(i) Taux de décaissement.                                         Cible : 100%                                                                 (ii) Rating de l'audit du projet.                                      Cible : Satisfaisant.                                    (iii) Disponibilité des rapports périodiques du projet.                                   Cibles : 04 Rapports Trimestriels d’Avancement (RTA) et 01 rapport annuel narratif</t>
  </si>
  <si>
    <t>(iv) Disponibilité Rapport évaluation finale (si planifiée)</t>
  </si>
  <si>
    <t>Comités de pilotage/</t>
  </si>
  <si>
    <t>Comités de pilotage</t>
  </si>
  <si>
    <t>Cible : 01 Rapport Evaluation finale du projet</t>
  </si>
  <si>
    <t>Suivi des résultats du PTA 2020</t>
  </si>
  <si>
    <t xml:space="preserve">Missions conjointes de suivi </t>
  </si>
  <si>
    <t>Déplacements</t>
  </si>
  <si>
    <t>Evaluation du projet (si planifiée)</t>
  </si>
  <si>
    <t>Recrutement consultants</t>
  </si>
  <si>
    <t>Atelier de validation du Rapport de l’évaluation</t>
  </si>
  <si>
    <t>TOTAL PNUD</t>
  </si>
  <si>
    <t>TOTAL MSIS TATAO</t>
  </si>
  <si>
    <t>Niveau de depense actuel en USD  -PNUD</t>
  </si>
  <si>
    <t>TABLEAU RECAPITULATIF RAPPORT FINANCIER PAR PRODUIT PROJET OBSMADA 2e Semetre 2021</t>
  </si>
  <si>
    <t>RAPPORT OBSMADA PAR CATEGORIE BUDGETAIRE_2e semetre 2022</t>
  </si>
  <si>
    <t>GMS 8,711 USD du cote PNUD</t>
  </si>
  <si>
    <t>GMS 6,760USD du cote PNUD</t>
  </si>
  <si>
    <t>GMS 5,351 USD du cote PNUD</t>
  </si>
  <si>
    <t>GMS 791 USD du cote PNUD</t>
  </si>
  <si>
    <t>GMS 6,302 USD du cote de PNUD</t>
  </si>
  <si>
    <t>GMS 4,979 USD du cote PNUD</t>
  </si>
  <si>
    <t>GMS 9,289 USD du cote de PNUD</t>
  </si>
  <si>
    <t>GMS</t>
  </si>
  <si>
    <t>1ère tranche du Grants RPA Ravintsara</t>
  </si>
  <si>
    <t>Consultants en SAP-PC, conflict scan et mission de suivi formation en cascade à Fianarantsoa, coûts de formation des formateurs et formation en cascade des RSOD et RSOC dans les 6 provinces</t>
  </si>
  <si>
    <t>Une partie de la 1ère tranche du Grants RPA Ravintsara</t>
  </si>
  <si>
    <t>2ème tranche Grants RPA RAVINTSARA</t>
  </si>
  <si>
    <t>2ème tranche Grants RPA RAVINTSARA + 1ère tranche Grants LVG HIRONDELLE / SIFAKA</t>
  </si>
  <si>
    <t>Grants LVG ONG IVORARY</t>
  </si>
  <si>
    <t xml:space="preserve">Grants LVG IVORARY et SIFAKA / HIRONDELLE </t>
  </si>
  <si>
    <t>Consultants nationaux + formation en plaidoyer Mellis + Grants SIFAKA</t>
  </si>
  <si>
    <t>Grants AVG + FH SIFAKA</t>
  </si>
  <si>
    <t>Grants AVG</t>
  </si>
  <si>
    <t xml:space="preserve"> Formation en leadership et gestion des projets + Duplication outils + une partie Grants AIM</t>
  </si>
  <si>
    <t>Grants AIM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</si>
</sst>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41" formatCode="_-* #,##0_-;\-* #,##0_-;_-* &quot;-&quot;_-;_-@_-"/>
    <numFmt numFmtId="43" formatCode="_-* #,##0.00_-;\-* #,##0.00_-;_-* &quot;-&quot;??_-;_-@_-"/>
    <numFmt numFmtId="164" formatCode="_(&quot;$&quot;* #,##0.00_);_(&quot;$&quot;* \(#,##0.00\);_(&quot;$&quot;* &quot;-&quot;??_);_(@_)"/>
    <numFmt numFmtId="165" formatCode="_(* #,##0.00_);_(* \(#,##0.00\);_(* &quot;-&quot;??_);_(@_)"/>
    <numFmt numFmtId="166" formatCode="_-* #,##0.00\ _€_-;\-* #,##0.00\ _€_-;_-* &quot;-&quot;??\ _€_-;_-@_-"/>
    <numFmt numFmtId="167" formatCode="_-* #,##0_-;\-* #,##0_-;_-* &quot;-&quot;??_-;_-@_-"/>
    <numFmt numFmtId="168" formatCode="_-* #,##0.0_-;\-* #,##0.0_-;_-* &quot;-&quot;??_-;_-@_-"/>
    <numFmt numFmtId="169" formatCode="#,##0.0"/>
    <numFmt numFmtId="170" formatCode="_-* #,##0\ _€_-;\-* #,##0\ _€_-;_-* &quot;-&quot;??\ _€_-;_-@_-"/>
    <numFmt numFmtId="171" formatCode="_-* #,##0.00000_-;\-* #,##0.00000_-;_-* &quot;-&quot;??_-;_-@_-"/>
    <numFmt numFmtId="172" formatCode="_-* #,##0.00000\ _€_-;\-* #,##0.00000\ _€_-;_-* &quot;-&quot;??\ _€_-;_-@_-"/>
    <numFmt numFmtId="173" formatCode="_(&quot;$&quot;* #,##0_);_(&quot;$&quot;* \(#,##0\);_(&quot;$&quot;* &quot;-&quot;??_);_(@_)"/>
    <numFmt numFmtId="174" formatCode="_-* #,##0.00\ _A_r_-;\-* #,##0.00\ _A_r_-;_-* &quot;-&quot;??\ _A_r_-;_-@_-"/>
    <numFmt numFmtId="175" formatCode="_-* #,##0.0\ _€_-;\-* #,##0.0\ _€_-;_-* &quot;-&quot;??\ _€_-;_-@_-"/>
    <numFmt numFmtId="176" formatCode="_-* #,##0.00\ _F_-;\-* #,##0.00\ _F_-;_-* &quot;-&quot;??\ _F_-;_-@_-"/>
    <numFmt numFmtId="177" formatCode="_-* #,##0.00\ _F_B_-;\-* #,##0.00\ _F_B_-;_-* &quot;-&quot;??\ _F_B_-;_-@_-"/>
    <numFmt numFmtId="178" formatCode="000000"/>
  </numFmts>
  <fonts count="79" x14ac:knownFonts="1">
    <font>
      <sz val="11"/>
      <color theme="1"/>
      <name val="Calibri"/>
      <family val="2"/>
      <scheme val="minor"/>
    </font>
    <font>
      <sz val="10"/>
      <color theme="1"/>
      <name val="Calibri"/>
      <family val="2"/>
      <scheme val="minor"/>
    </font>
    <font>
      <sz val="12"/>
      <color theme="1"/>
      <name val="Calibri"/>
      <family val="2"/>
      <scheme val="minor"/>
    </font>
    <font>
      <b/>
      <sz val="12"/>
      <color theme="1"/>
      <name val="Calibri"/>
      <family val="2"/>
      <scheme val="minor"/>
    </font>
    <font>
      <b/>
      <sz val="11"/>
      <color theme="1"/>
      <name val="Calibri"/>
      <family val="2"/>
      <scheme val="minor"/>
    </font>
    <font>
      <sz val="11"/>
      <color theme="1"/>
      <name val="Calibri"/>
      <family val="2"/>
      <scheme val="minor"/>
    </font>
    <font>
      <sz val="12"/>
      <color theme="1"/>
      <name val="Calibri"/>
      <family val="2"/>
      <scheme val="minor"/>
    </font>
    <font>
      <sz val="12"/>
      <color theme="1"/>
      <name val="Calibri"/>
      <family val="2"/>
    </font>
    <font>
      <sz val="11"/>
      <color rgb="FFFF0000"/>
      <name val="Calibri"/>
      <family val="2"/>
      <scheme val="minor"/>
    </font>
    <font>
      <b/>
      <sz val="20"/>
      <color theme="1"/>
      <name val="Calibri"/>
      <family val="2"/>
      <scheme val="minor"/>
    </font>
    <font>
      <b/>
      <sz val="36"/>
      <color theme="1"/>
      <name val="Calibri"/>
      <family val="2"/>
      <scheme val="minor"/>
    </font>
    <font>
      <sz val="36"/>
      <color theme="1"/>
      <name val="Calibri"/>
      <family val="2"/>
      <scheme val="minor"/>
    </font>
    <font>
      <sz val="9"/>
      <color theme="1"/>
      <name val="Calibri"/>
      <family val="2"/>
      <scheme val="minor"/>
    </font>
    <font>
      <sz val="11"/>
      <name val="Calibri"/>
      <family val="2"/>
      <scheme val="minor"/>
    </font>
    <font>
      <b/>
      <sz val="24"/>
      <color rgb="FF00B0F0"/>
      <name val="Calibri"/>
      <family val="2"/>
      <scheme val="minor"/>
    </font>
    <font>
      <b/>
      <u/>
      <sz val="14"/>
      <color theme="1"/>
      <name val="Calibri"/>
      <family val="2"/>
      <scheme val="minor"/>
    </font>
    <font>
      <b/>
      <sz val="10"/>
      <color theme="1"/>
      <name val="Calibri"/>
      <family val="2"/>
      <scheme val="minor"/>
    </font>
    <font>
      <sz val="10"/>
      <color theme="1"/>
      <name val="Arial"/>
      <family val="2"/>
    </font>
    <font>
      <b/>
      <sz val="10"/>
      <color theme="1"/>
      <name val="Arial"/>
      <family val="2"/>
    </font>
    <font>
      <b/>
      <sz val="14"/>
      <color theme="1"/>
      <name val="Times New Roman"/>
      <family val="1"/>
    </font>
    <font>
      <b/>
      <sz val="12"/>
      <color theme="1"/>
      <name val="Times New Roman"/>
      <family val="1"/>
    </font>
    <font>
      <sz val="10"/>
      <color rgb="FF000000"/>
      <name val="Arial"/>
      <family val="2"/>
    </font>
    <font>
      <u/>
      <sz val="10"/>
      <color theme="10"/>
      <name val="Calibri"/>
      <family val="2"/>
      <scheme val="minor"/>
    </font>
    <font>
      <b/>
      <sz val="12"/>
      <color indexed="8"/>
      <name val="Times New Roman"/>
      <family val="1"/>
    </font>
    <font>
      <sz val="10"/>
      <color rgb="FFFF0000"/>
      <name val="Arial"/>
      <family val="2"/>
    </font>
    <font>
      <b/>
      <sz val="18"/>
      <color rgb="FFFF0000"/>
      <name val="Arial"/>
      <family val="2"/>
    </font>
    <font>
      <b/>
      <sz val="12"/>
      <color theme="1"/>
      <name val="Arial"/>
      <family val="2"/>
    </font>
    <font>
      <sz val="12"/>
      <color rgb="FF000000"/>
      <name val="Times New Roman"/>
      <family val="1"/>
    </font>
    <font>
      <b/>
      <sz val="12"/>
      <color rgb="FF000000"/>
      <name val="Times New Roman"/>
      <family val="1"/>
    </font>
    <font>
      <b/>
      <sz val="12"/>
      <color rgb="FFFF0000"/>
      <name val="Arial"/>
      <family val="2"/>
    </font>
    <font>
      <b/>
      <sz val="14"/>
      <color rgb="FFFF0000"/>
      <name val="Arial"/>
      <family val="2"/>
    </font>
    <font>
      <sz val="14"/>
      <color theme="1"/>
      <name val="Calibri"/>
      <family val="2"/>
    </font>
    <font>
      <sz val="14"/>
      <color theme="1"/>
      <name val="Arial"/>
      <family val="2"/>
    </font>
    <font>
      <b/>
      <sz val="14"/>
      <color theme="1"/>
      <name val="Arial"/>
      <family val="2"/>
    </font>
    <font>
      <sz val="11"/>
      <color theme="1"/>
      <name val="Arial"/>
      <family val="2"/>
    </font>
    <font>
      <sz val="10"/>
      <name val="Arial"/>
      <family val="2"/>
    </font>
    <font>
      <sz val="11"/>
      <name val="Calibri"/>
      <family val="2"/>
    </font>
    <font>
      <b/>
      <sz val="11"/>
      <color rgb="FF000000"/>
      <name val="Calibri"/>
      <family val="2"/>
    </font>
    <font>
      <sz val="11"/>
      <color rgb="FF000000"/>
      <name val="Calibri"/>
      <family val="2"/>
    </font>
    <font>
      <b/>
      <sz val="11"/>
      <color theme="1"/>
      <name val="Arial Narrow"/>
      <family val="2"/>
    </font>
    <font>
      <b/>
      <sz val="12"/>
      <color rgb="FF002060"/>
      <name val="Calibri"/>
      <family val="2"/>
      <scheme val="minor"/>
    </font>
    <font>
      <sz val="12"/>
      <color rgb="FF000000"/>
      <name val="Calibri"/>
      <family val="2"/>
    </font>
    <font>
      <sz val="36"/>
      <color rgb="FF000000"/>
      <name val="Calibri"/>
      <family val="2"/>
    </font>
    <font>
      <b/>
      <sz val="12"/>
      <color rgb="FF000000"/>
      <name val="Calibri"/>
      <family val="2"/>
    </font>
    <font>
      <sz val="11"/>
      <color theme="1"/>
      <name val="Calibri"/>
      <family val="2"/>
    </font>
    <font>
      <sz val="12"/>
      <name val="Calibri"/>
      <family val="2"/>
    </font>
    <font>
      <b/>
      <sz val="9"/>
      <color rgb="FF000000"/>
      <name val="Arial"/>
      <family val="2"/>
    </font>
    <font>
      <i/>
      <sz val="9"/>
      <color rgb="FF000000"/>
      <name val="Arial Narrow"/>
      <family val="2"/>
    </font>
    <font>
      <i/>
      <sz val="8"/>
      <color rgb="FF000000"/>
      <name val="Arial"/>
      <family val="2"/>
    </font>
    <font>
      <sz val="8"/>
      <color rgb="FF000000"/>
      <name val="Arial"/>
      <family val="2"/>
    </font>
    <font>
      <sz val="9"/>
      <color rgb="FF000000"/>
      <name val="Arial"/>
      <family val="2"/>
    </font>
    <font>
      <sz val="11"/>
      <color rgb="FF000000"/>
      <name val="Arial"/>
      <family val="2"/>
    </font>
    <font>
      <b/>
      <sz val="11"/>
      <color rgb="FF000000"/>
      <name val="Arial"/>
      <family val="2"/>
    </font>
    <font>
      <b/>
      <sz val="8"/>
      <color rgb="FF000000"/>
      <name val="Arial"/>
      <family val="2"/>
    </font>
    <font>
      <sz val="9"/>
      <color rgb="FF000000"/>
      <name val="Arial Narrow"/>
      <family val="2"/>
    </font>
    <font>
      <sz val="11"/>
      <color rgb="FF000000"/>
      <name val="Arial Narrow"/>
      <family val="2"/>
    </font>
    <font>
      <b/>
      <i/>
      <sz val="10"/>
      <color rgb="FF000000"/>
      <name val="Arial"/>
      <family val="2"/>
    </font>
    <font>
      <b/>
      <sz val="11"/>
      <color rgb="FF000000"/>
      <name val="Arial Narrow"/>
      <family val="2"/>
    </font>
    <font>
      <b/>
      <i/>
      <sz val="10"/>
      <color rgb="FF000000"/>
      <name val="Arial Narrow"/>
      <family val="2"/>
    </font>
    <font>
      <b/>
      <sz val="10"/>
      <color rgb="FF000000"/>
      <name val="Arial"/>
      <family val="2"/>
    </font>
    <font>
      <b/>
      <sz val="9"/>
      <color rgb="FF000000"/>
      <name val="Arial Narrow"/>
      <family val="2"/>
    </font>
    <font>
      <sz val="8"/>
      <color rgb="FF000000"/>
      <name val="Arial Narrow"/>
      <family val="2"/>
    </font>
    <font>
      <sz val="11"/>
      <color rgb="FFFF0000"/>
      <name val="Calibri"/>
      <family val="2"/>
    </font>
    <font>
      <sz val="12"/>
      <name val="Calibri"/>
      <family val="2"/>
      <scheme val="minor"/>
    </font>
    <font>
      <sz val="12"/>
      <color rgb="FFFF0000"/>
      <name val="Calibri"/>
      <family val="2"/>
      <scheme val="minor"/>
    </font>
    <font>
      <b/>
      <sz val="12"/>
      <name val="Calibri"/>
      <family val="2"/>
      <scheme val="minor"/>
    </font>
    <font>
      <b/>
      <sz val="11"/>
      <color rgb="FF002060"/>
      <name val="Calibri"/>
      <family val="2"/>
      <scheme val="minor"/>
    </font>
    <font>
      <b/>
      <sz val="12"/>
      <color rgb="FF002060"/>
      <name val="Calibri"/>
      <family val="2"/>
    </font>
    <font>
      <sz val="12"/>
      <color rgb="FF002060"/>
      <name val="Calibri"/>
      <family val="2"/>
    </font>
    <font>
      <sz val="12"/>
      <color rgb="FF0070C0"/>
      <name val="Calibri"/>
      <family val="2"/>
    </font>
    <font>
      <sz val="11"/>
      <color indexed="8"/>
      <name val="Calibri"/>
      <family val="2"/>
    </font>
    <font>
      <sz val="12"/>
      <color indexed="8"/>
      <name val="Verdana"/>
      <family val="2"/>
    </font>
    <font>
      <sz val="16"/>
      <color rgb="FF000000"/>
      <name val="Calibri"/>
      <family val="2"/>
    </font>
    <font>
      <b/>
      <sz val="16"/>
      <color rgb="FF000000"/>
      <name val="Calibri"/>
      <family val="2"/>
    </font>
    <font>
      <sz val="11"/>
      <color rgb="FF00B0F0"/>
      <name val="Calibri"/>
      <family val="2"/>
    </font>
    <font>
      <sz val="11"/>
      <color rgb="FF00B0F0"/>
      <name val="Calibri"/>
      <family val="2"/>
      <scheme val="minor"/>
    </font>
    <font>
      <sz val="14"/>
      <name val="Calibri"/>
      <family val="2"/>
      <scheme val="minor"/>
    </font>
    <font>
      <sz val="14"/>
      <color theme="1"/>
      <name val="Calibri"/>
      <family val="2"/>
      <scheme val="minor"/>
    </font>
    <font>
      <sz val="11"/>
      <name val="Times New Roman"/>
      <family val="1"/>
    </font>
  </fonts>
  <fills count="36">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2" tint="-9.9978637043366805E-2"/>
        <bgColor indexed="64"/>
      </patternFill>
    </fill>
    <fill>
      <patternFill patternType="solid">
        <fgColor theme="7" tint="0.39997558519241921"/>
        <bgColor indexed="64"/>
      </patternFill>
    </fill>
    <fill>
      <patternFill patternType="solid">
        <fgColor theme="2"/>
        <bgColor indexed="64"/>
      </patternFill>
    </fill>
    <fill>
      <patternFill patternType="solid">
        <fgColor theme="8" tint="0.79998168889431442"/>
        <bgColor indexed="64"/>
      </patternFill>
    </fill>
    <fill>
      <patternFill patternType="solid">
        <fgColor theme="6" tint="0.59999389629810485"/>
        <bgColor indexed="64"/>
      </patternFill>
    </fill>
    <fill>
      <patternFill patternType="solid">
        <fgColor rgb="FF6699FF"/>
        <bgColor indexed="64"/>
      </patternFill>
    </fill>
    <fill>
      <patternFill patternType="solid">
        <fgColor theme="5" tint="0.59999389629810485"/>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theme="4" tint="0.59999389629810485"/>
        <bgColor indexed="64"/>
      </patternFill>
    </fill>
    <fill>
      <patternFill patternType="solid">
        <fgColor theme="3" tint="0.79998168889431442"/>
        <bgColor indexed="64"/>
      </patternFill>
    </fill>
    <fill>
      <patternFill patternType="solid">
        <fgColor theme="9" tint="0.59999389629810485"/>
        <bgColor indexed="64"/>
      </patternFill>
    </fill>
    <fill>
      <patternFill patternType="solid">
        <fgColor theme="7" tint="0.59999389629810485"/>
        <bgColor indexed="64"/>
      </patternFill>
    </fill>
    <fill>
      <patternFill patternType="solid">
        <fgColor theme="7" tint="-0.249977111117893"/>
        <bgColor indexed="64"/>
      </patternFill>
    </fill>
    <fill>
      <patternFill patternType="solid">
        <fgColor theme="5"/>
        <bgColor indexed="64"/>
      </patternFill>
    </fill>
    <fill>
      <patternFill patternType="solid">
        <fgColor theme="4" tint="0.79998168889431442"/>
        <bgColor indexed="64"/>
      </patternFill>
    </fill>
    <fill>
      <patternFill patternType="solid">
        <fgColor theme="7" tint="0.79998168889431442"/>
        <bgColor indexed="64"/>
      </patternFill>
    </fill>
    <fill>
      <patternFill patternType="solid">
        <fgColor rgb="FFFFFFFF"/>
        <bgColor rgb="FF000000"/>
      </patternFill>
    </fill>
    <fill>
      <patternFill patternType="solid">
        <fgColor rgb="FFD9D9D9"/>
        <bgColor rgb="FF000000"/>
      </patternFill>
    </fill>
    <fill>
      <patternFill patternType="solid">
        <fgColor rgb="FFD0CECE"/>
        <bgColor rgb="FF000000"/>
      </patternFill>
    </fill>
    <fill>
      <patternFill patternType="solid">
        <fgColor rgb="FFE2EFDA"/>
        <bgColor rgb="FF000000"/>
      </patternFill>
    </fill>
    <fill>
      <patternFill patternType="solid">
        <fgColor rgb="FFDDEBF7"/>
        <bgColor rgb="FF000000"/>
      </patternFill>
    </fill>
    <fill>
      <patternFill patternType="solid">
        <fgColor theme="0" tint="-0.249977111117893"/>
        <bgColor rgb="FF000000"/>
      </patternFill>
    </fill>
    <fill>
      <patternFill patternType="solid">
        <fgColor rgb="FFFFFF99"/>
        <bgColor rgb="FFFFFF99"/>
      </patternFill>
    </fill>
    <fill>
      <patternFill patternType="solid">
        <fgColor theme="0" tint="-0.34998626667073579"/>
        <bgColor rgb="FFCCCCCC"/>
      </patternFill>
    </fill>
    <fill>
      <patternFill patternType="solid">
        <fgColor rgb="FFCCCCCC"/>
        <bgColor rgb="FFCCCCCC"/>
      </patternFill>
    </fill>
    <fill>
      <patternFill patternType="solid">
        <fgColor rgb="FFBDD6EE"/>
        <bgColor rgb="FFBDD6EE"/>
      </patternFill>
    </fill>
    <fill>
      <patternFill patternType="solid">
        <fgColor rgb="FFFFFFFF"/>
        <bgColor rgb="FFFFFFFF"/>
      </patternFill>
    </fill>
    <fill>
      <patternFill patternType="solid">
        <fgColor theme="0" tint="-0.249977111117893"/>
        <bgColor rgb="FF808080"/>
      </patternFill>
    </fill>
    <fill>
      <patternFill patternType="solid">
        <fgColor rgb="FFA6A6A6"/>
        <bgColor rgb="FFA6A6A6"/>
      </patternFill>
    </fill>
    <fill>
      <patternFill patternType="solid">
        <fgColor theme="0"/>
        <bgColor rgb="FF808080"/>
      </patternFill>
    </fill>
    <fill>
      <patternFill patternType="solid">
        <fgColor rgb="FFFFFF00"/>
        <bgColor indexed="64"/>
      </patternFill>
    </fill>
  </fills>
  <borders count="95">
    <border>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thin">
        <color indexed="64"/>
      </bottom>
      <diagonal/>
    </border>
    <border>
      <left/>
      <right/>
      <top style="thin">
        <color indexed="64"/>
      </top>
      <bottom/>
      <diagonal/>
    </border>
    <border>
      <left/>
      <right style="thin">
        <color indexed="64"/>
      </right>
      <top/>
      <bottom/>
      <diagonal/>
    </border>
    <border>
      <left style="thin">
        <color indexed="64"/>
      </left>
      <right style="thin">
        <color indexed="64"/>
      </right>
      <top/>
      <bottom style="medium">
        <color indexed="64"/>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medium">
        <color indexed="64"/>
      </right>
      <top/>
      <bottom style="thin">
        <color indexed="64"/>
      </bottom>
      <diagonal/>
    </border>
    <border>
      <left/>
      <right style="medium">
        <color indexed="64"/>
      </right>
      <top style="thin">
        <color indexed="64"/>
      </top>
      <bottom style="medium">
        <color indexed="64"/>
      </bottom>
      <diagonal/>
    </border>
    <border>
      <left style="thin">
        <color indexed="64"/>
      </left>
      <right style="thin">
        <color indexed="64"/>
      </right>
      <top/>
      <bottom/>
      <diagonal/>
    </border>
    <border>
      <left style="medium">
        <color rgb="FF000000"/>
      </left>
      <right style="medium">
        <color rgb="FF000000"/>
      </right>
      <top style="medium">
        <color rgb="FF000000"/>
      </top>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right style="medium">
        <color rgb="FF000000"/>
      </right>
      <top/>
      <bottom/>
      <diagonal/>
    </border>
    <border>
      <left style="medium">
        <color rgb="FF000000"/>
      </left>
      <right style="medium">
        <color rgb="FF000000"/>
      </right>
      <top/>
      <bottom/>
      <diagonal/>
    </border>
    <border>
      <left/>
      <right style="medium">
        <color rgb="FF000000"/>
      </right>
      <top style="medium">
        <color indexed="64"/>
      </top>
      <bottom/>
      <diagonal/>
    </border>
    <border>
      <left style="medium">
        <color rgb="FF000000"/>
      </left>
      <right style="medium">
        <color indexed="64"/>
      </right>
      <top style="medium">
        <color indexed="64"/>
      </top>
      <bottom/>
      <diagonal/>
    </border>
    <border>
      <left style="medium">
        <color rgb="FF000000"/>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rgb="FF000000"/>
      </right>
      <top style="medium">
        <color rgb="FF000000"/>
      </top>
      <bottom/>
      <diagonal/>
    </border>
    <border>
      <left style="medium">
        <color indexed="64"/>
      </left>
      <right style="medium">
        <color indexed="64"/>
      </right>
      <top/>
      <bottom style="medium">
        <color indexed="64"/>
      </bottom>
      <diagonal/>
    </border>
    <border>
      <left style="medium">
        <color indexed="64"/>
      </left>
      <right style="medium">
        <color rgb="FF000000"/>
      </right>
      <top/>
      <bottom style="medium">
        <color rgb="FF000000"/>
      </bottom>
      <diagonal/>
    </border>
    <border>
      <left style="medium">
        <color rgb="FF000000"/>
      </left>
      <right/>
      <top/>
      <bottom style="medium">
        <color rgb="FF000000"/>
      </bottom>
      <diagonal/>
    </border>
    <border>
      <left style="medium">
        <color indexed="64"/>
      </left>
      <right style="medium">
        <color indexed="64"/>
      </right>
      <top style="medium">
        <color indexed="64"/>
      </top>
      <bottom style="medium">
        <color indexed="64"/>
      </bottom>
      <diagonal/>
    </border>
    <border>
      <left/>
      <right/>
      <top/>
      <bottom style="medium">
        <color rgb="FF000000"/>
      </bottom>
      <diagonal/>
    </border>
    <border>
      <left style="medium">
        <color indexed="64"/>
      </left>
      <right style="medium">
        <color rgb="FF000000"/>
      </right>
      <top style="medium">
        <color indexed="64"/>
      </top>
      <bottom style="medium">
        <color indexed="64"/>
      </bottom>
      <diagonal/>
    </border>
    <border>
      <left/>
      <right style="medium">
        <color rgb="FF000000"/>
      </right>
      <top style="medium">
        <color indexed="64"/>
      </top>
      <bottom style="medium">
        <color indexed="64"/>
      </bottom>
      <diagonal/>
    </border>
    <border>
      <left style="medium">
        <color rgb="FF000000"/>
      </left>
      <right/>
      <top style="medium">
        <color indexed="64"/>
      </top>
      <bottom/>
      <diagonal/>
    </border>
    <border>
      <left style="medium">
        <color rgb="FF000000"/>
      </left>
      <right/>
      <top/>
      <bottom/>
      <diagonal/>
    </border>
    <border>
      <left style="medium">
        <color indexed="64"/>
      </left>
      <right style="medium">
        <color indexed="64"/>
      </right>
      <top/>
      <bottom/>
      <diagonal/>
    </border>
    <border>
      <left/>
      <right style="medium">
        <color rgb="FF000000"/>
      </right>
      <top/>
      <bottom style="medium">
        <color indexed="64"/>
      </bottom>
      <diagonal/>
    </border>
    <border>
      <left style="medium">
        <color rgb="FF000000"/>
      </left>
      <right style="medium">
        <color indexed="64"/>
      </right>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rgb="FF000000"/>
      </left>
      <right/>
      <top style="medium">
        <color rgb="FF000000"/>
      </top>
      <bottom style="medium">
        <color indexed="64"/>
      </bottom>
      <diagonal/>
    </border>
    <border>
      <left/>
      <right/>
      <top style="medium">
        <color rgb="FF000000"/>
      </top>
      <bottom style="medium">
        <color indexed="64"/>
      </bottom>
      <diagonal/>
    </border>
    <border>
      <left/>
      <right style="medium">
        <color rgb="FF000000"/>
      </right>
      <top style="medium">
        <color rgb="FF000000"/>
      </top>
      <bottom style="medium">
        <color indexed="64"/>
      </bottom>
      <diagonal/>
    </border>
    <border>
      <left style="medium">
        <color indexed="64"/>
      </left>
      <right style="medium">
        <color rgb="FF000000"/>
      </right>
      <top style="medium">
        <color indexed="64"/>
      </top>
      <bottom/>
      <diagonal/>
    </border>
    <border>
      <left style="medium">
        <color indexed="64"/>
      </left>
      <right style="medium">
        <color rgb="FF000000"/>
      </right>
      <top/>
      <bottom/>
      <diagonal/>
    </border>
    <border>
      <left style="medium">
        <color rgb="FF000000"/>
      </left>
      <right style="medium">
        <color rgb="FF000000"/>
      </right>
      <top style="medium">
        <color indexed="64"/>
      </top>
      <bottom/>
      <diagonal/>
    </border>
    <border>
      <left style="medium">
        <color indexed="64"/>
      </left>
      <right style="medium">
        <color rgb="FF000000"/>
      </right>
      <top/>
      <bottom style="medium">
        <color indexed="64"/>
      </bottom>
      <diagonal/>
    </border>
    <border>
      <left style="medium">
        <color rgb="FF000000"/>
      </left>
      <right style="medium">
        <color rgb="FF000000"/>
      </right>
      <top/>
      <bottom style="medium">
        <color indexed="64"/>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style="thin">
        <color indexed="64"/>
      </left>
      <right/>
      <top style="medium">
        <color indexed="64"/>
      </top>
      <bottom/>
      <diagonal/>
    </border>
    <border>
      <left/>
      <right style="thin">
        <color rgb="FF000000"/>
      </right>
      <top/>
      <bottom/>
      <diagonal/>
    </border>
    <border>
      <left style="thin">
        <color rgb="FF000000"/>
      </left>
      <right/>
      <top/>
      <bottom/>
      <diagonal/>
    </border>
  </borders>
  <cellStyleXfs count="43">
    <xf numFmtId="0" fontId="0" fillId="0" borderId="0"/>
    <xf numFmtId="164" fontId="5" fillId="0" borderId="0" applyFont="0" applyFill="0" applyBorder="0" applyAlignment="0" applyProtection="0"/>
    <xf numFmtId="9" fontId="5" fillId="0" borderId="0" applyFont="0" applyFill="0" applyBorder="0" applyAlignment="0" applyProtection="0"/>
    <xf numFmtId="0" fontId="1" fillId="0" borderId="0"/>
    <xf numFmtId="43" fontId="1" fillId="0" borderId="0" applyFont="0" applyFill="0" applyBorder="0" applyAlignment="0" applyProtection="0"/>
    <xf numFmtId="0" fontId="22" fillId="0" borderId="0" applyNumberFormat="0" applyFill="0" applyBorder="0" applyAlignment="0" applyProtection="0"/>
    <xf numFmtId="166" fontId="5" fillId="0" borderId="0" applyFont="0" applyFill="0" applyBorder="0" applyAlignment="0" applyProtection="0"/>
    <xf numFmtId="0" fontId="38" fillId="0" borderId="0"/>
    <xf numFmtId="164" fontId="5" fillId="0" borderId="0" applyFont="0" applyFill="0" applyBorder="0" applyAlignment="0" applyProtection="0"/>
    <xf numFmtId="0" fontId="35" fillId="0" borderId="0"/>
    <xf numFmtId="0" fontId="51" fillId="0" borderId="0"/>
    <xf numFmtId="41" fontId="5" fillId="0" borderId="0" applyFont="0" applyFill="0" applyBorder="0" applyAlignment="0" applyProtection="0"/>
    <xf numFmtId="0" fontId="35" fillId="0" borderId="0"/>
    <xf numFmtId="43" fontId="35" fillId="0" borderId="0" applyFont="0" applyFill="0" applyBorder="0" applyAlignment="0" applyProtection="0"/>
    <xf numFmtId="41" fontId="5"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0" fontId="5" fillId="0" borderId="0"/>
    <xf numFmtId="166" fontId="5" fillId="0" borderId="0" applyFont="0" applyFill="0" applyBorder="0" applyAlignment="0" applyProtection="0"/>
    <xf numFmtId="9" fontId="51" fillId="0" borderId="0" applyFont="0" applyFill="0" applyBorder="0" applyAlignment="0" applyProtection="0"/>
    <xf numFmtId="176" fontId="35" fillId="0" borderId="0" applyFont="0" applyFill="0" applyBorder="0" applyAlignment="0" applyProtection="0"/>
    <xf numFmtId="0" fontId="38" fillId="0" borderId="0"/>
    <xf numFmtId="41" fontId="5" fillId="0" borderId="0" applyFont="0" applyFill="0" applyBorder="0" applyAlignment="0" applyProtection="0"/>
    <xf numFmtId="43" fontId="1" fillId="0" borderId="0" applyFont="0" applyFill="0" applyBorder="0" applyAlignment="0" applyProtection="0"/>
    <xf numFmtId="43" fontId="70" fillId="0" borderId="0" applyFont="0" applyFill="0" applyBorder="0" applyAlignment="0" applyProtection="0"/>
    <xf numFmtId="177" fontId="35" fillId="0" borderId="0" applyFont="0" applyFill="0" applyBorder="0" applyAlignment="0" applyProtection="0"/>
    <xf numFmtId="166" fontId="70" fillId="0" borderId="0" applyFont="0" applyFill="0" applyBorder="0" applyAlignment="0" applyProtection="0"/>
    <xf numFmtId="0" fontId="5" fillId="0" borderId="0"/>
    <xf numFmtId="0" fontId="5" fillId="0" borderId="0"/>
    <xf numFmtId="166" fontId="5" fillId="0" borderId="0" applyFont="0" applyFill="0" applyBorder="0" applyAlignment="0" applyProtection="0"/>
    <xf numFmtId="166" fontId="70" fillId="0" borderId="0" applyFont="0" applyFill="0" applyBorder="0" applyAlignment="0" applyProtection="0"/>
    <xf numFmtId="177" fontId="35" fillId="0" borderId="0" applyFont="0" applyFill="0" applyBorder="0" applyAlignment="0" applyProtection="0"/>
    <xf numFmtId="177" fontId="35" fillId="0" borderId="0" applyFont="0" applyFill="0" applyBorder="0" applyAlignment="0" applyProtection="0"/>
    <xf numFmtId="177" fontId="35" fillId="0" borderId="0" applyFont="0" applyFill="0" applyBorder="0" applyAlignment="0" applyProtection="0"/>
    <xf numFmtId="177" fontId="35" fillId="0" borderId="0" applyFont="0" applyFill="0" applyBorder="0" applyAlignment="0" applyProtection="0"/>
    <xf numFmtId="177" fontId="35" fillId="0" borderId="0" applyFont="0" applyFill="0" applyBorder="0" applyAlignment="0" applyProtection="0"/>
    <xf numFmtId="177" fontId="35" fillId="0" borderId="0" applyFont="0" applyFill="0" applyBorder="0" applyAlignment="0" applyProtection="0"/>
    <xf numFmtId="0" fontId="5" fillId="0" borderId="0"/>
    <xf numFmtId="165" fontId="35" fillId="0" borderId="0" applyFont="0" applyFill="0" applyBorder="0" applyAlignment="0" applyProtection="0"/>
    <xf numFmtId="0" fontId="35" fillId="0" borderId="0"/>
    <xf numFmtId="178" fontId="35" fillId="0" borderId="0" applyFont="0" applyFill="0" applyBorder="0" applyAlignment="0" applyProtection="0"/>
    <xf numFmtId="0" fontId="71" fillId="0" borderId="0" applyNumberFormat="0" applyFill="0" applyBorder="0" applyProtection="0">
      <alignment vertical="top" wrapText="1"/>
    </xf>
    <xf numFmtId="165" fontId="70" fillId="0" borderId="0" applyFont="0" applyFill="0" applyBorder="0" applyAlignment="0" applyProtection="0"/>
  </cellStyleXfs>
  <cellXfs count="888">
    <xf numFmtId="0" fontId="0" fillId="0" borderId="0" xfId="0"/>
    <xf numFmtId="0" fontId="6" fillId="0" borderId="0" xfId="0" applyFont="1" applyFill="1" applyBorder="1" applyAlignment="1">
      <alignment vertical="center" wrapText="1"/>
    </xf>
    <xf numFmtId="0" fontId="3" fillId="0" borderId="0" xfId="0" applyFont="1" applyFill="1" applyBorder="1" applyAlignment="1">
      <alignment vertical="center" wrapText="1"/>
    </xf>
    <xf numFmtId="0" fontId="6" fillId="0" borderId="0" xfId="0" applyFont="1" applyFill="1" applyBorder="1" applyAlignment="1" applyProtection="1">
      <alignment vertical="center" wrapText="1"/>
      <protection locked="0"/>
    </xf>
    <xf numFmtId="0" fontId="3" fillId="3" borderId="0" xfId="0" applyFont="1" applyFill="1" applyBorder="1" applyAlignment="1" applyProtection="1">
      <alignment vertical="center" wrapText="1"/>
    </xf>
    <xf numFmtId="164" fontId="3" fillId="0" borderId="0" xfId="0" applyNumberFormat="1" applyFont="1" applyFill="1" applyBorder="1" applyAlignment="1">
      <alignment vertical="center" wrapText="1"/>
    </xf>
    <xf numFmtId="164" fontId="6" fillId="3" borderId="0" xfId="1" applyFont="1" applyFill="1" applyBorder="1" applyAlignment="1" applyProtection="1">
      <alignment horizontal="center" vertical="center" wrapText="1"/>
      <protection locked="0"/>
    </xf>
    <xf numFmtId="0" fontId="6" fillId="3" borderId="0" xfId="0" applyFont="1" applyFill="1" applyBorder="1" applyAlignment="1" applyProtection="1">
      <alignment vertical="center" wrapText="1"/>
      <protection locked="0"/>
    </xf>
    <xf numFmtId="0" fontId="6" fillId="3" borderId="0" xfId="0" applyFont="1" applyFill="1" applyBorder="1" applyAlignment="1" applyProtection="1">
      <alignment horizontal="left" vertical="top" wrapText="1"/>
      <protection locked="0"/>
    </xf>
    <xf numFmtId="0" fontId="3" fillId="3" borderId="0" xfId="0" applyFont="1" applyFill="1" applyBorder="1" applyAlignment="1" applyProtection="1">
      <alignment vertical="center" wrapText="1"/>
      <protection locked="0"/>
    </xf>
    <xf numFmtId="0" fontId="6" fillId="3" borderId="2" xfId="0" applyFont="1" applyFill="1" applyBorder="1" applyAlignment="1" applyProtection="1">
      <alignment vertical="center" wrapText="1"/>
      <protection locked="0"/>
    </xf>
    <xf numFmtId="164" fontId="6" fillId="0" borderId="2" xfId="1" applyNumberFormat="1" applyFont="1" applyBorder="1" applyAlignment="1" applyProtection="1">
      <alignment horizontal="center" vertical="center" wrapText="1"/>
      <protection locked="0"/>
    </xf>
    <xf numFmtId="164" fontId="3" fillId="2" borderId="2" xfId="1" applyNumberFormat="1" applyFont="1" applyFill="1" applyBorder="1" applyAlignment="1" applyProtection="1">
      <alignment horizontal="center" vertical="center" wrapText="1"/>
    </xf>
    <xf numFmtId="164" fontId="3" fillId="2" borderId="4" xfId="1" applyNumberFormat="1" applyFont="1" applyFill="1" applyBorder="1" applyAlignment="1" applyProtection="1">
      <alignment horizontal="center" vertical="center" wrapText="1"/>
    </xf>
    <xf numFmtId="164" fontId="6" fillId="3" borderId="0" xfId="1" applyFont="1" applyFill="1" applyBorder="1" applyAlignment="1" applyProtection="1">
      <alignment vertical="center" wrapText="1"/>
      <protection locked="0"/>
    </xf>
    <xf numFmtId="164" fontId="6" fillId="0" borderId="2" xfId="1" applyFont="1" applyBorder="1" applyAlignment="1" applyProtection="1">
      <alignment vertical="center" wrapText="1"/>
      <protection locked="0"/>
    </xf>
    <xf numFmtId="0" fontId="3" fillId="2" borderId="6" xfId="0" applyFont="1" applyFill="1" applyBorder="1" applyAlignment="1" applyProtection="1">
      <alignment vertical="center" wrapText="1"/>
    </xf>
    <xf numFmtId="0" fontId="3" fillId="2" borderId="9" xfId="0" applyFont="1" applyFill="1" applyBorder="1" applyAlignment="1" applyProtection="1">
      <alignment vertical="center" wrapText="1"/>
    </xf>
    <xf numFmtId="164" fontId="3" fillId="3" borderId="0" xfId="0" applyNumberFormat="1" applyFont="1" applyFill="1" applyBorder="1" applyAlignment="1">
      <alignment vertical="center" wrapText="1"/>
    </xf>
    <xf numFmtId="0" fontId="10" fillId="0" borderId="0" xfId="0" applyFont="1" applyBorder="1" applyAlignment="1">
      <alignment wrapText="1"/>
    </xf>
    <xf numFmtId="0" fontId="11" fillId="0" borderId="0" xfId="0" applyFont="1" applyBorder="1" applyAlignment="1">
      <alignment wrapText="1"/>
    </xf>
    <xf numFmtId="0" fontId="0" fillId="0" borderId="0" xfId="0" applyFont="1" applyBorder="1" applyAlignment="1">
      <alignment wrapText="1"/>
    </xf>
    <xf numFmtId="0" fontId="0" fillId="3" borderId="0" xfId="0" applyFont="1" applyFill="1" applyBorder="1" applyAlignment="1">
      <alignment wrapText="1"/>
    </xf>
    <xf numFmtId="0" fontId="0" fillId="0" borderId="0" xfId="0" applyFont="1" applyFill="1" applyBorder="1" applyAlignment="1">
      <alignment wrapText="1"/>
    </xf>
    <xf numFmtId="0" fontId="0" fillId="0" borderId="0" xfId="0" applyFont="1" applyFill="1" applyBorder="1" applyAlignment="1">
      <alignment horizontal="center" wrapText="1"/>
    </xf>
    <xf numFmtId="0" fontId="6" fillId="0" borderId="0" xfId="0" applyFont="1" applyBorder="1" applyAlignment="1">
      <alignment wrapText="1"/>
    </xf>
    <xf numFmtId="0" fontId="6" fillId="3" borderId="0" xfId="0" applyFont="1" applyFill="1" applyBorder="1" applyAlignment="1">
      <alignment wrapText="1"/>
    </xf>
    <xf numFmtId="0" fontId="6" fillId="0" borderId="0" xfId="0" applyFont="1" applyFill="1" applyBorder="1" applyAlignment="1">
      <alignment wrapText="1"/>
    </xf>
    <xf numFmtId="0" fontId="12" fillId="0" borderId="0" xfId="0" applyFont="1" applyAlignment="1"/>
    <xf numFmtId="49" fontId="0" fillId="0" borderId="0" xfId="0" applyNumberFormat="1"/>
    <xf numFmtId="0" fontId="12" fillId="0" borderId="0" xfId="0" applyFont="1" applyAlignment="1">
      <alignment vertical="center"/>
    </xf>
    <xf numFmtId="49" fontId="13" fillId="0" borderId="0" xfId="0" applyNumberFormat="1" applyFont="1" applyAlignment="1">
      <alignment horizontal="left"/>
    </xf>
    <xf numFmtId="49" fontId="13" fillId="0" borderId="0" xfId="0" applyNumberFormat="1" applyFont="1" applyAlignment="1">
      <alignment horizontal="left" wrapText="1"/>
    </xf>
    <xf numFmtId="49" fontId="13" fillId="0" borderId="0" xfId="0" applyNumberFormat="1" applyFont="1" applyFill="1" applyAlignment="1">
      <alignment horizontal="left" wrapText="1"/>
    </xf>
    <xf numFmtId="0" fontId="3" fillId="6" borderId="2" xfId="0" applyFont="1" applyFill="1" applyBorder="1" applyAlignment="1" applyProtection="1">
      <alignment vertical="center" wrapText="1"/>
    </xf>
    <xf numFmtId="0" fontId="6" fillId="6" borderId="2" xfId="0" applyFont="1" applyFill="1" applyBorder="1" applyAlignment="1" applyProtection="1">
      <alignment vertical="center" wrapText="1"/>
    </xf>
    <xf numFmtId="0" fontId="3" fillId="2" borderId="2" xfId="0" applyFont="1" applyFill="1" applyBorder="1" applyAlignment="1" applyProtection="1">
      <alignment vertical="center" wrapText="1"/>
    </xf>
    <xf numFmtId="164" fontId="6" fillId="2" borderId="2" xfId="0" applyNumberFormat="1" applyFont="1" applyFill="1" applyBorder="1" applyAlignment="1" applyProtection="1">
      <alignment vertical="center" wrapText="1"/>
    </xf>
    <xf numFmtId="0" fontId="3" fillId="2" borderId="6" xfId="0" applyFont="1" applyFill="1" applyBorder="1" applyAlignment="1" applyProtection="1">
      <alignment horizontal="center" vertical="center" wrapText="1"/>
    </xf>
    <xf numFmtId="0" fontId="3" fillId="2" borderId="2" xfId="0" applyFont="1" applyFill="1" applyBorder="1" applyAlignment="1" applyProtection="1">
      <alignment horizontal="center" vertical="center" wrapText="1"/>
    </xf>
    <xf numFmtId="164" fontId="3" fillId="2" borderId="2" xfId="1" applyFont="1" applyFill="1" applyBorder="1" applyAlignment="1" applyProtection="1">
      <alignment vertical="center" wrapText="1"/>
    </xf>
    <xf numFmtId="164" fontId="3" fillId="2" borderId="3" xfId="1" applyFont="1" applyFill="1" applyBorder="1" applyAlignment="1" applyProtection="1">
      <alignment vertical="center" wrapText="1"/>
    </xf>
    <xf numFmtId="164" fontId="3" fillId="2" borderId="10" xfId="1" applyFont="1" applyFill="1" applyBorder="1" applyAlignment="1" applyProtection="1">
      <alignment vertical="center" wrapText="1"/>
    </xf>
    <xf numFmtId="9" fontId="3" fillId="2" borderId="11" xfId="2" applyFont="1" applyFill="1" applyBorder="1" applyAlignment="1" applyProtection="1">
      <alignment vertical="center" wrapText="1"/>
    </xf>
    <xf numFmtId="0" fontId="4" fillId="2" borderId="13" xfId="0" applyFont="1" applyFill="1" applyBorder="1" applyAlignment="1" applyProtection="1">
      <alignment horizontal="left" vertical="center" wrapText="1"/>
    </xf>
    <xf numFmtId="164" fontId="3" fillId="2" borderId="12" xfId="0" applyNumberFormat="1" applyFont="1" applyFill="1" applyBorder="1" applyAlignment="1" applyProtection="1">
      <alignment vertical="center" wrapText="1"/>
    </xf>
    <xf numFmtId="0" fontId="4" fillId="2" borderId="6" xfId="0" applyFont="1" applyFill="1" applyBorder="1" applyAlignment="1" applyProtection="1">
      <alignment horizontal="left" vertical="center" wrapText="1"/>
    </xf>
    <xf numFmtId="164" fontId="3" fillId="2" borderId="7" xfId="2" applyNumberFormat="1" applyFont="1" applyFill="1" applyBorder="1" applyAlignment="1" applyProtection="1">
      <alignment wrapText="1"/>
    </xf>
    <xf numFmtId="164" fontId="3" fillId="2" borderId="2" xfId="1" applyFont="1" applyFill="1" applyBorder="1" applyAlignment="1" applyProtection="1">
      <alignment horizontal="center" vertical="center" wrapText="1"/>
    </xf>
    <xf numFmtId="164" fontId="6" fillId="2" borderId="2" xfId="1" applyFont="1" applyFill="1" applyBorder="1" applyAlignment="1" applyProtection="1">
      <alignment vertical="center" wrapText="1"/>
    </xf>
    <xf numFmtId="0" fontId="6" fillId="2" borderId="6" xfId="0" applyFont="1" applyFill="1" applyBorder="1" applyAlignment="1" applyProtection="1">
      <alignment vertical="center" wrapText="1"/>
    </xf>
    <xf numFmtId="164" fontId="6" fillId="2" borderId="7" xfId="0" applyNumberFormat="1" applyFont="1" applyFill="1" applyBorder="1" applyAlignment="1" applyProtection="1">
      <alignment vertical="center" wrapText="1"/>
    </xf>
    <xf numFmtId="164" fontId="3" fillId="2" borderId="11" xfId="1" applyFont="1" applyFill="1" applyBorder="1" applyAlignment="1" applyProtection="1">
      <alignment vertical="center" wrapText="1"/>
    </xf>
    <xf numFmtId="0" fontId="6" fillId="3" borderId="1" xfId="0" applyFont="1" applyFill="1" applyBorder="1" applyAlignment="1" applyProtection="1">
      <alignment vertical="center" wrapText="1"/>
      <protection locked="0"/>
    </xf>
    <xf numFmtId="0" fontId="3" fillId="2" borderId="19" xfId="0" applyFont="1" applyFill="1" applyBorder="1" applyAlignment="1" applyProtection="1">
      <alignment vertical="center" wrapText="1"/>
    </xf>
    <xf numFmtId="0" fontId="3" fillId="4" borderId="2" xfId="0" applyFont="1" applyFill="1" applyBorder="1" applyAlignment="1" applyProtection="1">
      <alignment vertical="center" wrapText="1"/>
      <protection locked="0"/>
    </xf>
    <xf numFmtId="0" fontId="3" fillId="2" borderId="16" xfId="0" applyFont="1" applyFill="1" applyBorder="1" applyAlignment="1" applyProtection="1">
      <alignment vertical="center" wrapText="1"/>
    </xf>
    <xf numFmtId="164" fontId="3" fillId="2" borderId="20" xfId="1" applyFont="1" applyFill="1" applyBorder="1" applyAlignment="1" applyProtection="1">
      <alignment vertical="center" wrapText="1"/>
    </xf>
    <xf numFmtId="9" fontId="6" fillId="0" borderId="2" xfId="2" applyFont="1" applyBorder="1" applyAlignment="1" applyProtection="1">
      <alignment horizontal="center" vertical="center" wrapText="1"/>
      <protection locked="0"/>
    </xf>
    <xf numFmtId="9" fontId="6" fillId="0" borderId="2" xfId="2" applyFont="1" applyBorder="1" applyAlignment="1" applyProtection="1">
      <alignment vertical="center" wrapText="1"/>
      <protection locked="0"/>
    </xf>
    <xf numFmtId="164" fontId="6" fillId="2" borderId="2" xfId="1" applyNumberFormat="1" applyFont="1" applyFill="1" applyBorder="1" applyAlignment="1" applyProtection="1">
      <alignment horizontal="center" vertical="center" wrapText="1"/>
    </xf>
    <xf numFmtId="164" fontId="3" fillId="4" borderId="2" xfId="1" applyFont="1" applyFill="1" applyBorder="1" applyAlignment="1" applyProtection="1">
      <alignment vertical="center" wrapText="1"/>
    </xf>
    <xf numFmtId="9" fontId="3" fillId="3" borderId="7" xfId="2" applyFont="1" applyFill="1" applyBorder="1" applyAlignment="1" applyProtection="1">
      <alignment vertical="center" wrapText="1"/>
      <protection locked="0"/>
    </xf>
    <xf numFmtId="9" fontId="3" fillId="3" borderId="15" xfId="2" applyFont="1" applyFill="1" applyBorder="1" applyAlignment="1" applyProtection="1">
      <alignment vertical="center" wrapText="1"/>
      <protection locked="0"/>
    </xf>
    <xf numFmtId="9" fontId="3" fillId="3" borderId="15" xfId="2" applyFont="1" applyFill="1" applyBorder="1" applyAlignment="1" applyProtection="1">
      <alignment horizontal="right" vertical="center" wrapText="1"/>
      <protection locked="0"/>
    </xf>
    <xf numFmtId="9" fontId="0" fillId="0" borderId="0" xfId="2" applyFont="1"/>
    <xf numFmtId="10" fontId="3" fillId="2" borderId="7" xfId="2" applyNumberFormat="1" applyFont="1" applyFill="1" applyBorder="1" applyAlignment="1" applyProtection="1">
      <alignment wrapText="1"/>
    </xf>
    <xf numFmtId="164" fontId="6" fillId="0" borderId="2" xfId="1" applyFont="1" applyBorder="1" applyAlignment="1" applyProtection="1">
      <alignment horizontal="center" vertical="center" wrapText="1"/>
      <protection locked="0"/>
    </xf>
    <xf numFmtId="164" fontId="0" fillId="0" borderId="0" xfId="1" applyFont="1" applyBorder="1" applyAlignment="1">
      <alignment wrapText="1"/>
    </xf>
    <xf numFmtId="164" fontId="0" fillId="0" borderId="0" xfId="1" applyFont="1" applyFill="1" applyBorder="1" applyAlignment="1">
      <alignment wrapText="1"/>
    </xf>
    <xf numFmtId="164" fontId="11" fillId="0" borderId="0" xfId="1" applyFont="1" applyBorder="1" applyAlignment="1">
      <alignment wrapText="1"/>
    </xf>
    <xf numFmtId="164" fontId="9" fillId="3" borderId="0" xfId="1" applyFont="1" applyFill="1" applyBorder="1" applyAlignment="1">
      <alignment horizontal="left" wrapText="1"/>
    </xf>
    <xf numFmtId="0" fontId="2" fillId="2" borderId="6" xfId="0" applyFont="1" applyFill="1" applyBorder="1" applyAlignment="1" applyProtection="1">
      <alignment vertical="center" wrapText="1"/>
    </xf>
    <xf numFmtId="164" fontId="3" fillId="2" borderId="13" xfId="0" applyNumberFormat="1" applyFont="1" applyFill="1" applyBorder="1" applyAlignment="1">
      <alignment vertical="center" wrapText="1"/>
    </xf>
    <xf numFmtId="164" fontId="0" fillId="2" borderId="12" xfId="1" applyFont="1" applyFill="1" applyBorder="1" applyAlignment="1">
      <alignment vertical="center" wrapText="1"/>
    </xf>
    <xf numFmtId="0" fontId="0" fillId="2" borderId="9" xfId="0" applyFont="1" applyFill="1" applyBorder="1" applyAlignment="1">
      <alignment wrapText="1"/>
    </xf>
    <xf numFmtId="0" fontId="6" fillId="2" borderId="16" xfId="0" applyFont="1" applyFill="1" applyBorder="1" applyAlignment="1" applyProtection="1">
      <alignment horizontal="center" vertical="center" wrapText="1"/>
    </xf>
    <xf numFmtId="164" fontId="3" fillId="2" borderId="15" xfId="1" applyFont="1" applyFill="1" applyBorder="1" applyAlignment="1" applyProtection="1">
      <alignment horizontal="center" vertical="center" wrapText="1"/>
    </xf>
    <xf numFmtId="0" fontId="3" fillId="2" borderId="4" xfId="0" applyFont="1" applyFill="1" applyBorder="1" applyAlignment="1" applyProtection="1">
      <alignment horizontal="center" vertical="center" wrapText="1"/>
    </xf>
    <xf numFmtId="0" fontId="3" fillId="2" borderId="15" xfId="0" applyFont="1" applyFill="1" applyBorder="1" applyAlignment="1" applyProtection="1">
      <alignment horizontal="center" vertical="center" wrapText="1"/>
    </xf>
    <xf numFmtId="0" fontId="3" fillId="0" borderId="2" xfId="0" applyFont="1" applyFill="1" applyBorder="1" applyAlignment="1" applyProtection="1">
      <alignment horizontal="center" vertical="center" wrapText="1"/>
      <protection locked="0"/>
    </xf>
    <xf numFmtId="164" fontId="3" fillId="2" borderId="2" xfId="1" applyFont="1" applyFill="1" applyBorder="1" applyAlignment="1" applyProtection="1">
      <alignment horizontal="center" vertical="center" wrapText="1"/>
      <protection locked="0"/>
    </xf>
    <xf numFmtId="164" fontId="3" fillId="0" borderId="2" xfId="1" applyFont="1" applyFill="1" applyBorder="1" applyAlignment="1" applyProtection="1">
      <alignment horizontal="center" vertical="center" wrapText="1"/>
    </xf>
    <xf numFmtId="0" fontId="17" fillId="0" borderId="0" xfId="3" applyFont="1"/>
    <xf numFmtId="43" fontId="17" fillId="0" borderId="0" xfId="4" applyFont="1"/>
    <xf numFmtId="0" fontId="17" fillId="10" borderId="0" xfId="3" applyFont="1" applyFill="1"/>
    <xf numFmtId="0" fontId="17" fillId="9" borderId="0" xfId="3" applyFont="1" applyFill="1"/>
    <xf numFmtId="0" fontId="16" fillId="11" borderId="0" xfId="3" applyFont="1" applyFill="1"/>
    <xf numFmtId="43" fontId="16" fillId="11" borderId="0" xfId="4" applyFont="1" applyFill="1"/>
    <xf numFmtId="0" fontId="1" fillId="0" borderId="0" xfId="3"/>
    <xf numFmtId="43" fontId="0" fillId="0" borderId="0" xfId="4" applyFont="1"/>
    <xf numFmtId="168" fontId="0" fillId="0" borderId="0" xfId="4" applyNumberFormat="1" applyFont="1"/>
    <xf numFmtId="0" fontId="23" fillId="0" borderId="0" xfId="3" applyFont="1"/>
    <xf numFmtId="0" fontId="17" fillId="0" borderId="0" xfId="3" applyFont="1" applyBorder="1"/>
    <xf numFmtId="0" fontId="17" fillId="0" borderId="0" xfId="3" applyFont="1" applyFill="1"/>
    <xf numFmtId="43" fontId="17" fillId="0" borderId="0" xfId="4" applyFont="1" applyFill="1"/>
    <xf numFmtId="0" fontId="24" fillId="0" borderId="0" xfId="3" applyFont="1"/>
    <xf numFmtId="167" fontId="17" fillId="11" borderId="2" xfId="4" applyNumberFormat="1" applyFont="1" applyFill="1" applyBorder="1"/>
    <xf numFmtId="0" fontId="17" fillId="0" borderId="2" xfId="3" applyFont="1" applyBorder="1"/>
    <xf numFmtId="0" fontId="20" fillId="11" borderId="6" xfId="3" applyFont="1" applyFill="1" applyBorder="1" applyAlignment="1">
      <alignment vertical="top" wrapText="1"/>
    </xf>
    <xf numFmtId="43" fontId="17" fillId="11" borderId="7" xfId="4" applyFont="1" applyFill="1" applyBorder="1"/>
    <xf numFmtId="0" fontId="17" fillId="0" borderId="6" xfId="3" quotePrefix="1" applyFont="1" applyBorder="1" applyAlignment="1">
      <alignment horizontal="left" vertical="center" wrapText="1"/>
    </xf>
    <xf numFmtId="43" fontId="17" fillId="0" borderId="7" xfId="4" applyFont="1" applyBorder="1"/>
    <xf numFmtId="0" fontId="0" fillId="0" borderId="6" xfId="0" quotePrefix="1" applyFill="1" applyBorder="1" applyAlignment="1">
      <alignment wrapText="1"/>
    </xf>
    <xf numFmtId="0" fontId="17" fillId="0" borderId="6" xfId="3" applyFont="1" applyBorder="1" applyAlignment="1">
      <alignment horizontal="left" vertical="center" wrapText="1"/>
    </xf>
    <xf numFmtId="0" fontId="20" fillId="11" borderId="6" xfId="3" applyFont="1" applyFill="1" applyBorder="1" applyAlignment="1">
      <alignment wrapText="1"/>
    </xf>
    <xf numFmtId="0" fontId="17" fillId="0" borderId="6" xfId="3" applyFont="1" applyBorder="1" applyAlignment="1">
      <alignment vertical="top" wrapText="1"/>
    </xf>
    <xf numFmtId="0" fontId="17" fillId="0" borderId="6" xfId="3" applyFont="1" applyBorder="1" applyAlignment="1">
      <alignment wrapText="1"/>
    </xf>
    <xf numFmtId="0" fontId="26" fillId="13" borderId="13" xfId="3" applyFont="1" applyFill="1" applyBorder="1" applyAlignment="1">
      <alignment horizontal="center" vertical="center" wrapText="1"/>
    </xf>
    <xf numFmtId="0" fontId="26" fillId="13" borderId="14" xfId="3" applyFont="1" applyFill="1" applyBorder="1" applyAlignment="1">
      <alignment horizontal="center" vertical="top"/>
    </xf>
    <xf numFmtId="43" fontId="26" fillId="13" borderId="12" xfId="4" applyFont="1" applyFill="1" applyBorder="1" applyAlignment="1">
      <alignment horizontal="center" vertical="top" wrapText="1"/>
    </xf>
    <xf numFmtId="10" fontId="17" fillId="0" borderId="0" xfId="2" applyNumberFormat="1" applyFont="1"/>
    <xf numFmtId="10" fontId="17" fillId="11" borderId="2" xfId="3" applyNumberFormat="1" applyFont="1" applyFill="1" applyBorder="1"/>
    <xf numFmtId="10" fontId="17" fillId="0" borderId="2" xfId="3" applyNumberFormat="1" applyFont="1" applyBorder="1"/>
    <xf numFmtId="167" fontId="17" fillId="0" borderId="2" xfId="4" applyNumberFormat="1" applyFont="1" applyFill="1" applyBorder="1"/>
    <xf numFmtId="0" fontId="20" fillId="11" borderId="6" xfId="3" applyFont="1" applyFill="1" applyBorder="1" applyAlignment="1">
      <alignment horizontal="left" wrapText="1"/>
    </xf>
    <xf numFmtId="166" fontId="17" fillId="0" borderId="0" xfId="3" applyNumberFormat="1" applyFont="1"/>
    <xf numFmtId="0" fontId="17" fillId="0" borderId="0" xfId="3" applyFont="1" applyFill="1" applyBorder="1"/>
    <xf numFmtId="43" fontId="17" fillId="0" borderId="0" xfId="4" applyFont="1" applyFill="1" applyBorder="1"/>
    <xf numFmtId="0" fontId="7" fillId="0" borderId="0" xfId="0" applyFont="1" applyFill="1" applyBorder="1" applyAlignment="1" applyProtection="1">
      <alignment vertical="center" wrapText="1"/>
    </xf>
    <xf numFmtId="0" fontId="17" fillId="0" borderId="0" xfId="0" applyFont="1" applyFill="1" applyBorder="1"/>
    <xf numFmtId="0" fontId="17" fillId="0" borderId="0" xfId="0" applyFont="1" applyFill="1" applyBorder="1" applyAlignment="1">
      <alignment wrapText="1"/>
    </xf>
    <xf numFmtId="0" fontId="17" fillId="0" borderId="0" xfId="0" applyFont="1" applyFill="1" applyBorder="1" applyAlignment="1">
      <alignment horizontal="center"/>
    </xf>
    <xf numFmtId="169" fontId="17" fillId="0" borderId="0" xfId="0" applyNumberFormat="1" applyFont="1" applyFill="1" applyBorder="1"/>
    <xf numFmtId="0" fontId="17" fillId="0" borderId="0" xfId="0" applyFont="1" applyFill="1" applyBorder="1" applyAlignment="1">
      <alignment horizontal="left" vertical="top" wrapText="1" indent="3"/>
    </xf>
    <xf numFmtId="0" fontId="17" fillId="0" borderId="0" xfId="0" quotePrefix="1" applyFont="1" applyFill="1" applyBorder="1" applyAlignment="1">
      <alignment horizontal="left" vertical="top" wrapText="1" indent="3"/>
    </xf>
    <xf numFmtId="0" fontId="7" fillId="0" borderId="0" xfId="0" applyFont="1" applyFill="1" applyBorder="1" applyAlignment="1" applyProtection="1">
      <alignment vertical="center" wrapText="1"/>
      <protection locked="0"/>
    </xf>
    <xf numFmtId="164" fontId="3" fillId="0" borderId="0" xfId="1" applyFont="1" applyFill="1" applyBorder="1" applyAlignment="1" applyProtection="1">
      <alignment wrapText="1"/>
    </xf>
    <xf numFmtId="43" fontId="17" fillId="0" borderId="6" xfId="4" applyFont="1" applyFill="1" applyBorder="1" applyAlignment="1">
      <alignment vertical="top" wrapText="1"/>
    </xf>
    <xf numFmtId="0" fontId="17" fillId="0" borderId="2" xfId="3" applyFont="1" applyFill="1" applyBorder="1"/>
    <xf numFmtId="166" fontId="24" fillId="0" borderId="0" xfId="6" applyFont="1"/>
    <xf numFmtId="166" fontId="29" fillId="0" borderId="0" xfId="6" applyFont="1" applyFill="1" applyBorder="1"/>
    <xf numFmtId="166" fontId="24" fillId="0" borderId="0" xfId="3" applyNumberFormat="1" applyFont="1"/>
    <xf numFmtId="170" fontId="17" fillId="11" borderId="2" xfId="6" applyNumberFormat="1" applyFont="1" applyFill="1" applyBorder="1"/>
    <xf numFmtId="167" fontId="17" fillId="11" borderId="2" xfId="3" applyNumberFormat="1" applyFont="1" applyFill="1" applyBorder="1"/>
    <xf numFmtId="167" fontId="17" fillId="0" borderId="2" xfId="3" applyNumberFormat="1" applyFont="1" applyBorder="1"/>
    <xf numFmtId="171" fontId="17" fillId="0" borderId="0" xfId="3" applyNumberFormat="1" applyFont="1"/>
    <xf numFmtId="0" fontId="30" fillId="0" borderId="6" xfId="3" applyFont="1" applyBorder="1" applyAlignment="1">
      <alignment horizontal="center" vertical="center" wrapText="1"/>
    </xf>
    <xf numFmtId="0" fontId="30" fillId="0" borderId="2" xfId="3" applyFont="1" applyBorder="1" applyAlignment="1">
      <alignment horizontal="center" vertical="top"/>
    </xf>
    <xf numFmtId="170" fontId="30" fillId="0" borderId="2" xfId="3" applyNumberFormat="1" applyFont="1" applyBorder="1" applyAlignment="1">
      <alignment horizontal="center" vertical="top"/>
    </xf>
    <xf numFmtId="167" fontId="30" fillId="0" borderId="2" xfId="3" applyNumberFormat="1" applyFont="1" applyBorder="1" applyAlignment="1">
      <alignment horizontal="center" vertical="top"/>
    </xf>
    <xf numFmtId="0" fontId="30" fillId="12" borderId="9" xfId="3" applyFont="1" applyFill="1" applyBorder="1" applyAlignment="1">
      <alignment horizontal="center" vertical="center" wrapText="1"/>
    </xf>
    <xf numFmtId="0" fontId="30" fillId="12" borderId="10" xfId="3" applyFont="1" applyFill="1" applyBorder="1" applyAlignment="1">
      <alignment horizontal="center" vertical="top"/>
    </xf>
    <xf numFmtId="0" fontId="24" fillId="0" borderId="0" xfId="3" applyFont="1" applyFill="1"/>
    <xf numFmtId="170" fontId="17" fillId="0" borderId="2" xfId="6" applyNumberFormat="1" applyFont="1" applyBorder="1"/>
    <xf numFmtId="166" fontId="30" fillId="12" borderId="10" xfId="6" applyFont="1" applyFill="1" applyBorder="1" applyAlignment="1">
      <alignment horizontal="center" vertical="top"/>
    </xf>
    <xf numFmtId="166" fontId="17" fillId="0" borderId="0" xfId="6" applyFont="1" applyFill="1" applyBorder="1"/>
    <xf numFmtId="166" fontId="17" fillId="0" borderId="0" xfId="0" applyNumberFormat="1" applyFont="1" applyFill="1" applyBorder="1"/>
    <xf numFmtId="166" fontId="17" fillId="0" borderId="0" xfId="3" applyNumberFormat="1" applyFont="1" applyFill="1" applyBorder="1"/>
    <xf numFmtId="172" fontId="17" fillId="0" borderId="0" xfId="0" applyNumberFormat="1" applyFont="1" applyFill="1" applyBorder="1"/>
    <xf numFmtId="0" fontId="19" fillId="13" borderId="6" xfId="3" applyFont="1" applyFill="1" applyBorder="1" applyAlignment="1">
      <alignment vertical="top" wrapText="1"/>
    </xf>
    <xf numFmtId="10" fontId="17" fillId="13" borderId="2" xfId="3" applyNumberFormat="1" applyFont="1" applyFill="1" applyBorder="1"/>
    <xf numFmtId="167" fontId="33" fillId="13" borderId="2" xfId="4" applyNumberFormat="1" applyFont="1" applyFill="1" applyBorder="1"/>
    <xf numFmtId="167" fontId="26" fillId="13" borderId="2" xfId="3" applyNumberFormat="1" applyFont="1" applyFill="1" applyBorder="1"/>
    <xf numFmtId="43" fontId="26" fillId="13" borderId="7" xfId="4" applyFont="1" applyFill="1" applyBorder="1"/>
    <xf numFmtId="10" fontId="26" fillId="13" borderId="2" xfId="3" applyNumberFormat="1" applyFont="1" applyFill="1" applyBorder="1"/>
    <xf numFmtId="0" fontId="20" fillId="13" borderId="6" xfId="3" applyFont="1" applyFill="1" applyBorder="1" applyAlignment="1">
      <alignment vertical="top" wrapText="1"/>
    </xf>
    <xf numFmtId="167" fontId="33" fillId="13" borderId="2" xfId="3" applyNumberFormat="1" applyFont="1" applyFill="1" applyBorder="1"/>
    <xf numFmtId="167" fontId="33" fillId="13" borderId="7" xfId="3" applyNumberFormat="1" applyFont="1" applyFill="1" applyBorder="1"/>
    <xf numFmtId="167" fontId="17" fillId="11" borderId="7" xfId="3" applyNumberFormat="1" applyFont="1" applyFill="1" applyBorder="1"/>
    <xf numFmtId="167" fontId="30" fillId="0" borderId="7" xfId="3" applyNumberFormat="1" applyFont="1" applyBorder="1" applyAlignment="1">
      <alignment horizontal="center" vertical="top"/>
    </xf>
    <xf numFmtId="167" fontId="26" fillId="13" borderId="7" xfId="3" applyNumberFormat="1" applyFont="1" applyFill="1" applyBorder="1"/>
    <xf numFmtId="167" fontId="17" fillId="11" borderId="7" xfId="4" applyNumberFormat="1" applyFont="1" applyFill="1" applyBorder="1"/>
    <xf numFmtId="170" fontId="17" fillId="11" borderId="7" xfId="6" applyNumberFormat="1" applyFont="1" applyFill="1" applyBorder="1"/>
    <xf numFmtId="166" fontId="30" fillId="12" borderId="11" xfId="6" applyFont="1" applyFill="1" applyBorder="1" applyAlignment="1">
      <alignment horizontal="center" vertical="top"/>
    </xf>
    <xf numFmtId="0" fontId="17" fillId="0" borderId="2" xfId="0" applyFont="1" applyFill="1" applyBorder="1" applyAlignment="1">
      <alignment horizontal="center"/>
    </xf>
    <xf numFmtId="0" fontId="25" fillId="0" borderId="4" xfId="3" applyFont="1" applyFill="1" applyBorder="1" applyAlignment="1">
      <alignment horizontal="center" vertical="top"/>
    </xf>
    <xf numFmtId="0" fontId="31" fillId="0" borderId="13" xfId="0" applyFont="1" applyFill="1" applyBorder="1" applyAlignment="1" applyProtection="1">
      <alignment vertical="center" wrapText="1"/>
    </xf>
    <xf numFmtId="0" fontId="17" fillId="0" borderId="14" xfId="3" applyFont="1" applyFill="1" applyBorder="1"/>
    <xf numFmtId="0" fontId="32" fillId="0" borderId="6" xfId="0" applyFont="1" applyFill="1" applyBorder="1" applyAlignment="1">
      <alignment wrapText="1"/>
    </xf>
    <xf numFmtId="0" fontId="33" fillId="0" borderId="9" xfId="0" applyFont="1" applyFill="1" applyBorder="1" applyAlignment="1">
      <alignment horizontal="left" vertical="top" wrapText="1" indent="3"/>
    </xf>
    <xf numFmtId="0" fontId="26" fillId="0" borderId="10" xfId="0" applyFont="1" applyFill="1" applyBorder="1" applyAlignment="1">
      <alignment horizontal="center"/>
    </xf>
    <xf numFmtId="170" fontId="26" fillId="0" borderId="10" xfId="6" applyNumberFormat="1" applyFont="1" applyFill="1" applyBorder="1"/>
    <xf numFmtId="170" fontId="26" fillId="0" borderId="11" xfId="6" applyNumberFormat="1" applyFont="1" applyFill="1" applyBorder="1"/>
    <xf numFmtId="170" fontId="34" fillId="0" borderId="14" xfId="6" applyNumberFormat="1" applyFont="1" applyFill="1" applyBorder="1"/>
    <xf numFmtId="170" fontId="34" fillId="0" borderId="12" xfId="6" applyNumberFormat="1" applyFont="1" applyFill="1" applyBorder="1"/>
    <xf numFmtId="170" fontId="34" fillId="0" borderId="2" xfId="6" applyNumberFormat="1" applyFont="1" applyFill="1" applyBorder="1"/>
    <xf numFmtId="170" fontId="34" fillId="0" borderId="7" xfId="6" applyNumberFormat="1" applyFont="1" applyFill="1" applyBorder="1"/>
    <xf numFmtId="10" fontId="17" fillId="0" borderId="0" xfId="2" applyNumberFormat="1" applyFont="1" applyFill="1" applyBorder="1"/>
    <xf numFmtId="0" fontId="2" fillId="0" borderId="2" xfId="0" applyFont="1" applyBorder="1" applyAlignment="1" applyProtection="1">
      <alignment horizontal="left" vertical="top" wrapText="1"/>
      <protection locked="0"/>
    </xf>
    <xf numFmtId="0" fontId="17" fillId="14" borderId="0" xfId="3" applyFont="1" applyFill="1"/>
    <xf numFmtId="0" fontId="17" fillId="15" borderId="0" xfId="3" applyFont="1" applyFill="1"/>
    <xf numFmtId="0" fontId="17" fillId="16" borderId="0" xfId="3" applyFont="1" applyFill="1"/>
    <xf numFmtId="0" fontId="17" fillId="2" borderId="0" xfId="3" applyFont="1" applyFill="1"/>
    <xf numFmtId="0" fontId="30" fillId="0" borderId="16" xfId="3" applyFont="1" applyBorder="1" applyAlignment="1">
      <alignment horizontal="center" vertical="center" wrapText="1"/>
    </xf>
    <xf numFmtId="0" fontId="30" fillId="0" borderId="4" xfId="3" applyFont="1" applyBorder="1" applyAlignment="1">
      <alignment horizontal="center" vertical="top"/>
    </xf>
    <xf numFmtId="167" fontId="30" fillId="0" borderId="4" xfId="3" applyNumberFormat="1" applyFont="1" applyBorder="1" applyAlignment="1">
      <alignment horizontal="center" vertical="top"/>
    </xf>
    <xf numFmtId="0" fontId="19" fillId="13" borderId="13" xfId="3" applyFont="1" applyFill="1" applyBorder="1" applyAlignment="1">
      <alignment vertical="top" wrapText="1"/>
    </xf>
    <xf numFmtId="10" fontId="17" fillId="13" borderId="14" xfId="3" applyNumberFormat="1" applyFont="1" applyFill="1" applyBorder="1"/>
    <xf numFmtId="167" fontId="26" fillId="13" borderId="14" xfId="3" applyNumberFormat="1" applyFont="1" applyFill="1" applyBorder="1"/>
    <xf numFmtId="167" fontId="33" fillId="13" borderId="7" xfId="4" applyNumberFormat="1" applyFont="1" applyFill="1" applyBorder="1"/>
    <xf numFmtId="0" fontId="17" fillId="0" borderId="8" xfId="3" applyFont="1" applyBorder="1" applyAlignment="1">
      <alignment vertical="top" wrapText="1"/>
    </xf>
    <xf numFmtId="43" fontId="17" fillId="0" borderId="26" xfId="4" applyFont="1" applyBorder="1"/>
    <xf numFmtId="0" fontId="17" fillId="17" borderId="0" xfId="3" applyFont="1" applyFill="1"/>
    <xf numFmtId="0" fontId="18" fillId="0" borderId="0" xfId="3" applyFont="1"/>
    <xf numFmtId="0" fontId="17" fillId="10" borderId="0" xfId="3" applyFont="1" applyFill="1" applyAlignment="1">
      <alignment shrinkToFit="1"/>
    </xf>
    <xf numFmtId="0" fontId="17" fillId="3" borderId="0" xfId="3" applyFont="1" applyFill="1"/>
    <xf numFmtId="0" fontId="35" fillId="18" borderId="0" xfId="3" applyFont="1" applyFill="1"/>
    <xf numFmtId="0" fontId="17" fillId="18" borderId="0" xfId="3" applyFont="1" applyFill="1"/>
    <xf numFmtId="172" fontId="17" fillId="0" borderId="0" xfId="6" applyNumberFormat="1" applyFont="1" applyFill="1" applyBorder="1"/>
    <xf numFmtId="43" fontId="17" fillId="0" borderId="2" xfId="4" applyNumberFormat="1" applyFont="1" applyFill="1" applyBorder="1"/>
    <xf numFmtId="43" fontId="17" fillId="0" borderId="4" xfId="4" applyNumberFormat="1" applyFont="1" applyFill="1" applyBorder="1"/>
    <xf numFmtId="43" fontId="17" fillId="0" borderId="7" xfId="4" applyNumberFormat="1" applyFont="1" applyFill="1" applyBorder="1"/>
    <xf numFmtId="43" fontId="17" fillId="0" borderId="15" xfId="4" applyNumberFormat="1" applyFont="1" applyFill="1" applyBorder="1"/>
    <xf numFmtId="166" fontId="36" fillId="7" borderId="14" xfId="6" applyFont="1" applyFill="1" applyBorder="1" applyAlignment="1">
      <alignment vertical="center" wrapText="1"/>
    </xf>
    <xf numFmtId="0" fontId="38" fillId="0" borderId="12" xfId="0" applyFont="1" applyBorder="1" applyAlignment="1">
      <alignment vertical="center" wrapText="1"/>
    </xf>
    <xf numFmtId="0" fontId="0" fillId="0" borderId="2" xfId="0" applyFont="1" applyBorder="1" applyAlignment="1">
      <alignment wrapText="1"/>
    </xf>
    <xf numFmtId="0" fontId="0" fillId="3" borderId="2" xfId="0" applyFont="1" applyFill="1" applyBorder="1" applyAlignment="1">
      <alignment wrapText="1"/>
    </xf>
    <xf numFmtId="164" fontId="0" fillId="0" borderId="0" xfId="0" applyNumberFormat="1"/>
    <xf numFmtId="0" fontId="1" fillId="0" borderId="0" xfId="0" applyFont="1" applyAlignment="1">
      <alignment vertical="center"/>
    </xf>
    <xf numFmtId="0" fontId="39" fillId="0" borderId="0" xfId="0" applyFont="1" applyAlignment="1">
      <alignment horizontal="right" vertical="center" wrapText="1"/>
    </xf>
    <xf numFmtId="164" fontId="39" fillId="3" borderId="2" xfId="0" applyNumberFormat="1" applyFont="1" applyFill="1" applyBorder="1" applyAlignment="1">
      <alignment vertical="center" wrapText="1"/>
    </xf>
    <xf numFmtId="166" fontId="39" fillId="3" borderId="2" xfId="6" applyFont="1" applyFill="1" applyBorder="1" applyAlignment="1">
      <alignment vertical="center" wrapText="1"/>
    </xf>
    <xf numFmtId="10" fontId="39" fillId="3" borderId="2" xfId="2" applyNumberFormat="1" applyFont="1" applyFill="1" applyBorder="1" applyAlignment="1">
      <alignment vertical="center" wrapText="1"/>
    </xf>
    <xf numFmtId="10" fontId="0" fillId="0" borderId="0" xfId="2" applyNumberFormat="1" applyFont="1"/>
    <xf numFmtId="0" fontId="16" fillId="11" borderId="2" xfId="0" applyFont="1" applyFill="1" applyBorder="1" applyAlignment="1">
      <alignment horizontal="center" vertical="center"/>
    </xf>
    <xf numFmtId="166" fontId="16" fillId="11" borderId="2" xfId="6" applyFont="1" applyFill="1" applyBorder="1" applyAlignment="1">
      <alignment horizontal="center" vertical="center" wrapText="1"/>
    </xf>
    <xf numFmtId="10" fontId="0" fillId="2" borderId="11" xfId="2" applyNumberFormat="1" applyFont="1" applyFill="1" applyBorder="1" applyAlignment="1">
      <alignment wrapText="1"/>
    </xf>
    <xf numFmtId="173" fontId="39" fillId="3" borderId="2" xfId="0" applyNumberFormat="1" applyFont="1" applyFill="1" applyBorder="1" applyAlignment="1">
      <alignment vertical="center" wrapText="1"/>
    </xf>
    <xf numFmtId="170" fontId="39" fillId="3" borderId="2" xfId="6" applyNumberFormat="1" applyFont="1" applyFill="1" applyBorder="1" applyAlignment="1">
      <alignment vertical="center" wrapText="1"/>
    </xf>
    <xf numFmtId="0" fontId="4" fillId="0" borderId="0" xfId="0" applyFont="1" applyBorder="1" applyAlignment="1">
      <alignment wrapText="1"/>
    </xf>
    <xf numFmtId="0" fontId="41" fillId="0" borderId="0" xfId="0" applyFont="1" applyAlignment="1">
      <alignment wrapText="1"/>
    </xf>
    <xf numFmtId="0" fontId="42" fillId="0" borderId="0" xfId="0" applyFont="1" applyAlignment="1">
      <alignment wrapText="1"/>
    </xf>
    <xf numFmtId="0" fontId="43" fillId="21" borderId="0" xfId="0" applyFont="1" applyFill="1" applyAlignment="1">
      <alignment horizontal="left" wrapText="1"/>
    </xf>
    <xf numFmtId="164" fontId="43" fillId="22" borderId="2" xfId="1" applyFont="1" applyFill="1" applyBorder="1" applyAlignment="1" applyProtection="1">
      <alignment horizontal="center" vertical="center" wrapText="1"/>
      <protection locked="0"/>
    </xf>
    <xf numFmtId="0" fontId="43" fillId="22" borderId="4" xfId="0" applyFont="1" applyFill="1" applyBorder="1" applyAlignment="1">
      <alignment horizontal="center" vertical="center" wrapText="1"/>
    </xf>
    <xf numFmtId="0" fontId="43" fillId="22" borderId="10" xfId="0" applyFont="1" applyFill="1" applyBorder="1" applyAlignment="1">
      <alignment horizontal="left" wrapText="1"/>
    </xf>
    <xf numFmtId="164" fontId="43" fillId="22" borderId="10" xfId="0" applyNumberFormat="1" applyFont="1" applyFill="1" applyBorder="1" applyAlignment="1">
      <alignment horizontal="center" wrapText="1"/>
    </xf>
    <xf numFmtId="164" fontId="43" fillId="22" borderId="2" xfId="0" applyNumberFormat="1" applyFont="1" applyFill="1" applyBorder="1" applyAlignment="1">
      <alignment wrapText="1"/>
    </xf>
    <xf numFmtId="164" fontId="41" fillId="22" borderId="2" xfId="0" applyNumberFormat="1" applyFont="1" applyFill="1" applyBorder="1" applyAlignment="1">
      <alignment wrapText="1"/>
    </xf>
    <xf numFmtId="0" fontId="41" fillId="22" borderId="19" xfId="0" applyFont="1" applyFill="1" applyBorder="1" applyAlignment="1">
      <alignment vertical="center" wrapText="1"/>
    </xf>
    <xf numFmtId="164" fontId="41" fillId="0" borderId="19" xfId="0" applyNumberFormat="1" applyFont="1" applyBorder="1" applyAlignment="1" applyProtection="1">
      <alignment wrapText="1"/>
      <protection locked="0"/>
    </xf>
    <xf numFmtId="164" fontId="41" fillId="0" borderId="2" xfId="0" applyNumberFormat="1" applyFont="1" applyBorder="1" applyAlignment="1">
      <alignment wrapText="1"/>
    </xf>
    <xf numFmtId="0" fontId="41" fillId="22" borderId="2" xfId="0" applyFont="1" applyFill="1" applyBorder="1" applyAlignment="1">
      <alignment vertical="center" wrapText="1"/>
    </xf>
    <xf numFmtId="164" fontId="41" fillId="0" borderId="2" xfId="0" applyNumberFormat="1" applyFont="1" applyBorder="1" applyAlignment="1" applyProtection="1">
      <alignment wrapText="1"/>
      <protection locked="0"/>
    </xf>
    <xf numFmtId="0" fontId="41" fillId="22" borderId="2" xfId="0" applyFont="1" applyFill="1" applyBorder="1" applyAlignment="1" applyProtection="1">
      <alignment vertical="center" wrapText="1"/>
      <protection locked="0"/>
    </xf>
    <xf numFmtId="164" fontId="43" fillId="23" borderId="2" xfId="1" applyFont="1" applyFill="1" applyBorder="1" applyAlignment="1" applyProtection="1">
      <alignment wrapText="1"/>
    </xf>
    <xf numFmtId="164" fontId="43" fillId="23" borderId="2" xfId="1" applyFont="1" applyFill="1" applyBorder="1" applyAlignment="1">
      <alignment wrapText="1"/>
    </xf>
    <xf numFmtId="0" fontId="41" fillId="21" borderId="0" xfId="0" applyFont="1" applyFill="1" applyAlignment="1">
      <alignment wrapText="1"/>
    </xf>
    <xf numFmtId="164" fontId="43" fillId="21" borderId="34" xfId="1" applyFont="1" applyFill="1" applyBorder="1" applyAlignment="1">
      <alignment wrapText="1"/>
    </xf>
    <xf numFmtId="164" fontId="43" fillId="21" borderId="24" xfId="0" applyNumberFormat="1" applyFont="1" applyFill="1" applyBorder="1" applyAlignment="1">
      <alignment wrapText="1"/>
    </xf>
    <xf numFmtId="0" fontId="41" fillId="0" borderId="2" xfId="0" applyFont="1" applyBorder="1" applyAlignment="1">
      <alignment wrapText="1"/>
    </xf>
    <xf numFmtId="164" fontId="43" fillId="21" borderId="35" xfId="1" applyFont="1" applyFill="1" applyBorder="1" applyAlignment="1">
      <alignment wrapText="1"/>
    </xf>
    <xf numFmtId="0" fontId="43" fillId="22" borderId="37" xfId="0" applyFont="1" applyFill="1" applyBorder="1" applyAlignment="1">
      <alignment horizontal="left" wrapText="1"/>
    </xf>
    <xf numFmtId="164" fontId="43" fillId="22" borderId="37" xfId="0" applyNumberFormat="1" applyFont="1" applyFill="1" applyBorder="1" applyAlignment="1">
      <alignment horizontal="center" wrapText="1"/>
    </xf>
    <xf numFmtId="164" fontId="43" fillId="22" borderId="37" xfId="0" applyNumberFormat="1" applyFont="1" applyFill="1" applyBorder="1" applyAlignment="1">
      <alignment wrapText="1"/>
    </xf>
    <xf numFmtId="164" fontId="43" fillId="22" borderId="10" xfId="0" applyNumberFormat="1" applyFont="1" applyFill="1" applyBorder="1" applyAlignment="1">
      <alignment wrapText="1"/>
    </xf>
    <xf numFmtId="0" fontId="41" fillId="22" borderId="0" xfId="0" applyFont="1" applyFill="1" applyAlignment="1">
      <alignment wrapText="1"/>
    </xf>
    <xf numFmtId="164" fontId="43" fillId="22" borderId="19" xfId="0" applyNumberFormat="1" applyFont="1" applyFill="1" applyBorder="1" applyAlignment="1">
      <alignment wrapText="1"/>
    </xf>
    <xf numFmtId="164" fontId="43" fillId="21" borderId="38" xfId="0" applyNumberFormat="1" applyFont="1" applyFill="1" applyBorder="1" applyAlignment="1">
      <alignment wrapText="1"/>
    </xf>
    <xf numFmtId="0" fontId="41" fillId="22" borderId="2" xfId="0" applyFont="1" applyFill="1" applyBorder="1" applyAlignment="1">
      <alignment wrapText="1"/>
    </xf>
    <xf numFmtId="0" fontId="43" fillId="22" borderId="8" xfId="0" applyFont="1" applyFill="1" applyBorder="1" applyAlignment="1">
      <alignment horizontal="center" wrapText="1"/>
    </xf>
    <xf numFmtId="0" fontId="43" fillId="22" borderId="41" xfId="0" applyFont="1" applyFill="1" applyBorder="1" applyAlignment="1">
      <alignment vertical="center" wrapText="1"/>
    </xf>
    <xf numFmtId="0" fontId="43" fillId="22" borderId="25" xfId="0" applyFont="1" applyFill="1" applyBorder="1" applyAlignment="1">
      <alignment vertical="center" wrapText="1"/>
    </xf>
    <xf numFmtId="164" fontId="41" fillId="22" borderId="19" xfId="0" applyNumberFormat="1" applyFont="1" applyFill="1" applyBorder="1" applyAlignment="1">
      <alignment wrapText="1"/>
    </xf>
    <xf numFmtId="164" fontId="43" fillId="22" borderId="3" xfId="0" applyNumberFormat="1" applyFont="1" applyFill="1" applyBorder="1" applyAlignment="1">
      <alignment wrapText="1"/>
    </xf>
    <xf numFmtId="0" fontId="43" fillId="22" borderId="25" xfId="0" applyFont="1" applyFill="1" applyBorder="1" applyAlignment="1" applyProtection="1">
      <alignment vertical="center" wrapText="1"/>
      <protection locked="0"/>
    </xf>
    <xf numFmtId="164" fontId="41" fillId="22" borderId="2" xfId="1" applyFont="1" applyFill="1" applyBorder="1" applyAlignment="1">
      <alignment wrapText="1"/>
    </xf>
    <xf numFmtId="164" fontId="41" fillId="22" borderId="3" xfId="0" applyNumberFormat="1" applyFont="1" applyFill="1" applyBorder="1" applyAlignment="1">
      <alignment wrapText="1"/>
    </xf>
    <xf numFmtId="0" fontId="41" fillId="22" borderId="6" xfId="0" applyFont="1" applyFill="1" applyBorder="1" applyAlignment="1">
      <alignment vertical="center" wrapText="1"/>
    </xf>
    <xf numFmtId="164" fontId="41" fillId="22" borderId="10" xfId="0" applyNumberFormat="1" applyFont="1" applyFill="1" applyBorder="1" applyAlignment="1">
      <alignment wrapText="1"/>
    </xf>
    <xf numFmtId="164" fontId="41" fillId="22" borderId="30" xfId="0" applyNumberFormat="1" applyFont="1" applyFill="1" applyBorder="1" applyAlignment="1">
      <alignment wrapText="1"/>
    </xf>
    <xf numFmtId="164" fontId="43" fillId="21" borderId="2" xfId="0" applyNumberFormat="1" applyFont="1" applyFill="1" applyBorder="1" applyAlignment="1">
      <alignment vertical="center" wrapText="1"/>
    </xf>
    <xf numFmtId="0" fontId="43" fillId="22" borderId="42" xfId="0" applyFont="1" applyFill="1" applyBorder="1" applyAlignment="1">
      <alignment wrapText="1"/>
    </xf>
    <xf numFmtId="164" fontId="43" fillId="22" borderId="43" xfId="0" applyNumberFormat="1" applyFont="1" applyFill="1" applyBorder="1" applyAlignment="1">
      <alignment wrapText="1"/>
    </xf>
    <xf numFmtId="164" fontId="43" fillId="24" borderId="2" xfId="0" applyNumberFormat="1" applyFont="1" applyFill="1" applyBorder="1" applyAlignment="1">
      <alignment vertical="center" wrapText="1"/>
    </xf>
    <xf numFmtId="0" fontId="44" fillId="0" borderId="0" xfId="0" applyFont="1"/>
    <xf numFmtId="0" fontId="41" fillId="0" borderId="0" xfId="0" applyFont="1"/>
    <xf numFmtId="0" fontId="43" fillId="22" borderId="19" xfId="0" applyFont="1" applyFill="1" applyBorder="1" applyAlignment="1">
      <alignment horizontal="center" wrapText="1"/>
    </xf>
    <xf numFmtId="0" fontId="43" fillId="22" borderId="2" xfId="0" applyFont="1" applyFill="1" applyBorder="1" applyAlignment="1">
      <alignment horizontal="center" vertical="center" wrapText="1"/>
    </xf>
    <xf numFmtId="0" fontId="43" fillId="22" borderId="6" xfId="0" applyFont="1" applyFill="1" applyBorder="1" applyAlignment="1">
      <alignment vertical="center" wrapText="1"/>
    </xf>
    <xf numFmtId="164" fontId="43" fillId="22" borderId="50" xfId="0" applyNumberFormat="1" applyFont="1" applyFill="1" applyBorder="1" applyAlignment="1">
      <alignment wrapText="1"/>
    </xf>
    <xf numFmtId="164" fontId="43" fillId="22" borderId="7" xfId="0" applyNumberFormat="1" applyFont="1" applyFill="1" applyBorder="1" applyAlignment="1">
      <alignment wrapText="1"/>
    </xf>
    <xf numFmtId="0" fontId="43" fillId="22" borderId="6" xfId="0" applyFont="1" applyFill="1" applyBorder="1" applyAlignment="1" applyProtection="1">
      <alignment vertical="center" wrapText="1"/>
      <protection locked="0"/>
    </xf>
    <xf numFmtId="0" fontId="43" fillId="22" borderId="16" xfId="0" applyFont="1" applyFill="1" applyBorder="1" applyAlignment="1">
      <alignment vertical="center" wrapText="1"/>
    </xf>
    <xf numFmtId="164" fontId="41" fillId="22" borderId="4" xfId="0" applyNumberFormat="1" applyFont="1" applyFill="1" applyBorder="1" applyAlignment="1">
      <alignment wrapText="1"/>
    </xf>
    <xf numFmtId="164" fontId="43" fillId="22" borderId="15" xfId="0" applyNumberFormat="1" applyFont="1" applyFill="1" applyBorder="1" applyAlignment="1">
      <alignment wrapText="1"/>
    </xf>
    <xf numFmtId="164" fontId="41" fillId="22" borderId="13" xfId="1" applyFont="1" applyFill="1" applyBorder="1" applyAlignment="1" applyProtection="1">
      <alignment wrapText="1"/>
    </xf>
    <xf numFmtId="164" fontId="41" fillId="22" borderId="14" xfId="1" applyFont="1" applyFill="1" applyBorder="1" applyAlignment="1">
      <alignment wrapText="1"/>
    </xf>
    <xf numFmtId="164" fontId="41" fillId="22" borderId="12" xfId="0" applyNumberFormat="1" applyFont="1" applyFill="1" applyBorder="1" applyAlignment="1">
      <alignment wrapText="1"/>
    </xf>
    <xf numFmtId="164" fontId="41" fillId="22" borderId="6" xfId="1" applyFont="1" applyFill="1" applyBorder="1" applyAlignment="1" applyProtection="1">
      <alignment wrapText="1"/>
    </xf>
    <xf numFmtId="164" fontId="43" fillId="22" borderId="2" xfId="1" applyFont="1" applyFill="1" applyBorder="1" applyAlignment="1">
      <alignment wrapText="1"/>
    </xf>
    <xf numFmtId="164" fontId="43" fillId="22" borderId="7" xfId="1" applyFont="1" applyFill="1" applyBorder="1" applyAlignment="1">
      <alignment wrapText="1"/>
    </xf>
    <xf numFmtId="164" fontId="43" fillId="22" borderId="9" xfId="1" applyFont="1" applyFill="1" applyBorder="1" applyAlignment="1" applyProtection="1">
      <alignment wrapText="1"/>
    </xf>
    <xf numFmtId="164" fontId="43" fillId="22" borderId="10" xfId="1" applyFont="1" applyFill="1" applyBorder="1" applyAlignment="1">
      <alignment wrapText="1"/>
    </xf>
    <xf numFmtId="164" fontId="43" fillId="22" borderId="11" xfId="1" applyFont="1" applyFill="1" applyBorder="1" applyAlignment="1">
      <alignment wrapText="1"/>
    </xf>
    <xf numFmtId="0" fontId="43" fillId="22" borderId="6" xfId="0" applyFont="1" applyFill="1" applyBorder="1" applyAlignment="1">
      <alignment horizontal="center" vertical="center" wrapText="1"/>
    </xf>
    <xf numFmtId="0" fontId="43" fillId="22" borderId="7" xfId="0" applyFont="1" applyFill="1" applyBorder="1" applyAlignment="1">
      <alignment horizontal="center" vertical="center" wrapText="1"/>
    </xf>
    <xf numFmtId="0" fontId="43" fillId="22" borderId="17" xfId="0" applyFont="1" applyFill="1" applyBorder="1" applyAlignment="1">
      <alignment horizontal="center" vertical="center" wrapText="1"/>
    </xf>
    <xf numFmtId="164" fontId="43" fillId="22" borderId="2" xfId="1" applyFont="1" applyFill="1" applyBorder="1" applyAlignment="1">
      <alignment vertical="center" wrapText="1"/>
    </xf>
    <xf numFmtId="164" fontId="43" fillId="22" borderId="7" xfId="2" applyNumberFormat="1" applyFont="1" applyFill="1" applyBorder="1" applyAlignment="1">
      <alignment vertical="center" wrapText="1"/>
    </xf>
    <xf numFmtId="9" fontId="43" fillId="22" borderId="17" xfId="2" applyFont="1" applyFill="1" applyBorder="1" applyAlignment="1">
      <alignment vertical="center" wrapText="1"/>
    </xf>
    <xf numFmtId="9" fontId="43" fillId="22" borderId="51" xfId="2" applyFont="1" applyFill="1" applyBorder="1" applyAlignment="1">
      <alignment vertical="center" wrapText="1"/>
    </xf>
    <xf numFmtId="0" fontId="43" fillId="22" borderId="9" xfId="0" applyFont="1" applyFill="1" applyBorder="1" applyAlignment="1">
      <alignment vertical="center" wrapText="1"/>
    </xf>
    <xf numFmtId="164" fontId="37" fillId="22" borderId="10" xfId="0" applyNumberFormat="1" applyFont="1" applyFill="1" applyBorder="1"/>
    <xf numFmtId="164" fontId="43" fillId="0" borderId="0" xfId="1" applyFont="1" applyFill="1" applyBorder="1" applyAlignment="1" applyProtection="1">
      <alignment wrapText="1"/>
    </xf>
    <xf numFmtId="164" fontId="43" fillId="0" borderId="0" xfId="1" applyFont="1" applyFill="1" applyBorder="1" applyAlignment="1">
      <alignment wrapText="1"/>
    </xf>
    <xf numFmtId="0" fontId="41" fillId="0" borderId="0" xfId="0" applyFont="1" applyFill="1" applyAlignment="1">
      <alignment wrapText="1"/>
    </xf>
    <xf numFmtId="164" fontId="6" fillId="0" borderId="0" xfId="0" applyNumberFormat="1" applyFont="1" applyBorder="1" applyAlignment="1">
      <alignment wrapText="1"/>
    </xf>
    <xf numFmtId="174" fontId="6" fillId="0" borderId="0" xfId="0" applyNumberFormat="1" applyFont="1" applyFill="1" applyBorder="1" applyAlignment="1">
      <alignment wrapText="1"/>
    </xf>
    <xf numFmtId="174" fontId="0" fillId="0" borderId="0" xfId="0" applyNumberFormat="1"/>
    <xf numFmtId="0" fontId="41" fillId="0" borderId="0" xfId="0" applyFont="1" applyAlignment="1">
      <alignment vertical="center" wrapText="1"/>
    </xf>
    <xf numFmtId="164" fontId="41" fillId="0" borderId="2" xfId="0" applyNumberFormat="1" applyFont="1" applyBorder="1" applyAlignment="1" applyProtection="1">
      <alignment vertical="center" wrapText="1"/>
      <protection locked="0"/>
    </xf>
    <xf numFmtId="164" fontId="43" fillId="22" borderId="2" xfId="0" applyNumberFormat="1" applyFont="1" applyFill="1" applyBorder="1" applyAlignment="1">
      <alignment vertical="center" wrapText="1"/>
    </xf>
    <xf numFmtId="0" fontId="6" fillId="0" borderId="0" xfId="0" applyFont="1" applyBorder="1" applyAlignment="1">
      <alignment vertical="center" wrapText="1"/>
    </xf>
    <xf numFmtId="0" fontId="41" fillId="11" borderId="6" xfId="0" applyFont="1" applyFill="1" applyBorder="1" applyAlignment="1">
      <alignment vertical="center" wrapText="1"/>
    </xf>
    <xf numFmtId="164" fontId="41" fillId="26" borderId="2" xfId="1" applyFont="1" applyFill="1" applyBorder="1" applyAlignment="1" applyProtection="1">
      <alignment vertical="center" wrapText="1"/>
      <protection locked="0"/>
    </xf>
    <xf numFmtId="166" fontId="41" fillId="0" borderId="2" xfId="6" applyFont="1" applyBorder="1" applyAlignment="1">
      <alignment wrapText="1"/>
    </xf>
    <xf numFmtId="166" fontId="6" fillId="0" borderId="0" xfId="0" applyNumberFormat="1" applyFont="1" applyBorder="1" applyAlignment="1">
      <alignment wrapText="1"/>
    </xf>
    <xf numFmtId="164" fontId="0" fillId="0" borderId="2" xfId="0" applyNumberFormat="1" applyBorder="1" applyAlignment="1">
      <alignment vertical="center"/>
    </xf>
    <xf numFmtId="164" fontId="41" fillId="3" borderId="19" xfId="0" applyNumberFormat="1" applyFont="1" applyFill="1" applyBorder="1" applyAlignment="1" applyProtection="1">
      <alignment wrapText="1"/>
      <protection locked="0"/>
    </xf>
    <xf numFmtId="164" fontId="41" fillId="3" borderId="2" xfId="0" applyNumberFormat="1" applyFont="1" applyFill="1" applyBorder="1" applyAlignment="1">
      <alignment wrapText="1"/>
    </xf>
    <xf numFmtId="166" fontId="41" fillId="3" borderId="2" xfId="6" applyFont="1" applyFill="1" applyBorder="1" applyAlignment="1">
      <alignment wrapText="1"/>
    </xf>
    <xf numFmtId="164" fontId="43" fillId="0" borderId="2" xfId="0" applyNumberFormat="1" applyFont="1" applyBorder="1" applyAlignment="1">
      <alignment wrapText="1"/>
    </xf>
    <xf numFmtId="0" fontId="0" fillId="0" borderId="2" xfId="0" applyFont="1" applyBorder="1" applyAlignment="1">
      <alignment vertical="center" wrapText="1"/>
    </xf>
    <xf numFmtId="0" fontId="0" fillId="0" borderId="0" xfId="0" applyFont="1" applyBorder="1" applyAlignment="1">
      <alignment vertical="center" wrapText="1"/>
    </xf>
    <xf numFmtId="0" fontId="46" fillId="27" borderId="55" xfId="7" applyFont="1" applyFill="1" applyBorder="1" applyAlignment="1">
      <alignment horizontal="center" vertical="center" wrapText="1"/>
    </xf>
    <xf numFmtId="0" fontId="38" fillId="0" borderId="0" xfId="7"/>
    <xf numFmtId="0" fontId="49" fillId="27" borderId="57" xfId="7" applyFont="1" applyFill="1" applyBorder="1" applyAlignment="1">
      <alignment horizontal="center" vertical="center" wrapText="1"/>
    </xf>
    <xf numFmtId="0" fontId="50" fillId="27" borderId="57" xfId="7" applyFont="1" applyFill="1" applyBorder="1" applyAlignment="1">
      <alignment horizontal="center" vertical="center" wrapText="1"/>
    </xf>
    <xf numFmtId="0" fontId="51" fillId="27" borderId="57" xfId="7" applyFont="1" applyFill="1" applyBorder="1" applyAlignment="1">
      <alignment horizontal="center" vertical="center" wrapText="1"/>
    </xf>
    <xf numFmtId="4" fontId="49" fillId="27" borderId="57" xfId="7" applyNumberFormat="1" applyFont="1" applyFill="1" applyBorder="1" applyAlignment="1">
      <alignment horizontal="center" vertical="center" wrapText="1"/>
    </xf>
    <xf numFmtId="4" fontId="52" fillId="28" borderId="54" xfId="7" applyNumberFormat="1" applyFont="1" applyFill="1" applyBorder="1" applyAlignment="1">
      <alignment vertical="center" wrapText="1"/>
    </xf>
    <xf numFmtId="4" fontId="38" fillId="0" borderId="0" xfId="7" applyNumberFormat="1"/>
    <xf numFmtId="0" fontId="52" fillId="29" borderId="31" xfId="7" applyFont="1" applyFill="1" applyBorder="1" applyAlignment="1">
      <alignment horizontal="center" vertical="center" wrapText="1"/>
    </xf>
    <xf numFmtId="0" fontId="52" fillId="29" borderId="32" xfId="7" applyFont="1" applyFill="1" applyBorder="1" applyAlignment="1">
      <alignment horizontal="center" vertical="center" wrapText="1"/>
    </xf>
    <xf numFmtId="0" fontId="52" fillId="29" borderId="33" xfId="7" applyFont="1" applyFill="1" applyBorder="1" applyAlignment="1">
      <alignment horizontal="center" vertical="center" wrapText="1"/>
    </xf>
    <xf numFmtId="4" fontId="52" fillId="29" borderId="55" xfId="7" applyNumberFormat="1" applyFont="1" applyFill="1" applyBorder="1" applyAlignment="1">
      <alignment vertical="center" wrapText="1"/>
    </xf>
    <xf numFmtId="0" fontId="52" fillId="0" borderId="0" xfId="7" applyFont="1" applyAlignment="1">
      <alignment horizontal="center" vertical="center" wrapText="1"/>
    </xf>
    <xf numFmtId="0" fontId="52" fillId="0" borderId="61" xfId="7" applyFont="1" applyBorder="1" applyAlignment="1">
      <alignment horizontal="center" vertical="center" wrapText="1"/>
    </xf>
    <xf numFmtId="4" fontId="52" fillId="0" borderId="54" xfId="7" applyNumberFormat="1" applyFont="1" applyBorder="1" applyAlignment="1">
      <alignment vertical="center" wrapText="1"/>
    </xf>
    <xf numFmtId="0" fontId="54" fillId="0" borderId="57" xfId="7" applyFont="1" applyBorder="1" applyAlignment="1">
      <alignment horizontal="justify" vertical="center" wrapText="1"/>
    </xf>
    <xf numFmtId="0" fontId="55" fillId="30" borderId="57" xfId="7" applyFont="1" applyFill="1" applyBorder="1" applyAlignment="1">
      <alignment horizontal="center" vertical="center" wrapText="1"/>
    </xf>
    <xf numFmtId="0" fontId="55" fillId="0" borderId="57" xfId="7" applyFont="1" applyBorder="1" applyAlignment="1">
      <alignment horizontal="center" vertical="center" wrapText="1"/>
    </xf>
    <xf numFmtId="0" fontId="51" fillId="0" borderId="57" xfId="7" applyFont="1" applyBorder="1" applyAlignment="1">
      <alignment horizontal="justify" vertical="center" wrapText="1"/>
    </xf>
    <xf numFmtId="0" fontId="51" fillId="11" borderId="57" xfId="7" applyFont="1" applyFill="1" applyBorder="1" applyAlignment="1">
      <alignment horizontal="justify" vertical="center" wrapText="1"/>
    </xf>
    <xf numFmtId="0" fontId="51" fillId="11" borderId="57" xfId="7" applyFont="1" applyFill="1" applyBorder="1" applyAlignment="1">
      <alignment horizontal="center" vertical="center" wrapText="1"/>
    </xf>
    <xf numFmtId="4" fontId="21" fillId="11" borderId="57" xfId="7" applyNumberFormat="1" applyFont="1" applyFill="1" applyBorder="1" applyAlignment="1">
      <alignment horizontal="justify" vertical="center" wrapText="1"/>
    </xf>
    <xf numFmtId="0" fontId="49" fillId="0" borderId="57" xfId="7" applyFont="1" applyBorder="1" applyAlignment="1">
      <alignment horizontal="justify" vertical="center" wrapText="1"/>
    </xf>
    <xf numFmtId="0" fontId="54" fillId="0" borderId="61" xfId="7" applyFont="1" applyBorder="1" applyAlignment="1">
      <alignment horizontal="justify" vertical="center" wrapText="1"/>
    </xf>
    <xf numFmtId="0" fontId="54" fillId="0" borderId="46" xfId="7" applyFont="1" applyBorder="1" applyAlignment="1">
      <alignment horizontal="justify" vertical="center" wrapText="1"/>
    </xf>
    <xf numFmtId="0" fontId="38" fillId="0" borderId="8" xfId="7" applyBorder="1"/>
    <xf numFmtId="0" fontId="38" fillId="0" borderId="26" xfId="7" applyBorder="1"/>
    <xf numFmtId="0" fontId="47" fillId="0" borderId="0" xfId="7" applyFont="1" applyAlignment="1">
      <alignment horizontal="justify" vertical="center" wrapText="1"/>
    </xf>
    <xf numFmtId="0" fontId="47" fillId="0" borderId="26" xfId="7" applyFont="1" applyBorder="1" applyAlignment="1">
      <alignment horizontal="justify" vertical="center" wrapText="1"/>
    </xf>
    <xf numFmtId="0" fontId="54" fillId="0" borderId="49" xfId="7" applyFont="1" applyBorder="1" applyAlignment="1">
      <alignment horizontal="justify" vertical="center" wrapText="1"/>
    </xf>
    <xf numFmtId="0" fontId="51" fillId="0" borderId="61" xfId="7" applyFont="1" applyBorder="1" applyAlignment="1">
      <alignment horizontal="justify" vertical="center" wrapText="1"/>
    </xf>
    <xf numFmtId="0" fontId="51" fillId="0" borderId="57" xfId="7" applyFont="1" applyBorder="1" applyAlignment="1">
      <alignment horizontal="center" vertical="center" wrapText="1"/>
    </xf>
    <xf numFmtId="4" fontId="21" fillId="0" borderId="57" xfId="7" applyNumberFormat="1" applyFont="1" applyBorder="1" applyAlignment="1">
      <alignment horizontal="justify" vertical="center" wrapText="1"/>
    </xf>
    <xf numFmtId="0" fontId="51" fillId="11" borderId="61" xfId="7" applyFont="1" applyFill="1" applyBorder="1" applyAlignment="1">
      <alignment horizontal="justify" vertical="center" wrapText="1"/>
    </xf>
    <xf numFmtId="0" fontId="51" fillId="11" borderId="61" xfId="7" applyFont="1" applyFill="1" applyBorder="1" applyAlignment="1">
      <alignment horizontal="center" vertical="center" wrapText="1"/>
    </xf>
    <xf numFmtId="4" fontId="21" fillId="11" borderId="61" xfId="7" applyNumberFormat="1" applyFont="1" applyFill="1" applyBorder="1" applyAlignment="1">
      <alignment horizontal="justify" vertical="center" wrapText="1"/>
    </xf>
    <xf numFmtId="0" fontId="48" fillId="0" borderId="8" xfId="7" applyFont="1" applyBorder="1" applyAlignment="1">
      <alignment horizontal="justify" vertical="center" wrapText="1"/>
    </xf>
    <xf numFmtId="0" fontId="48" fillId="0" borderId="26" xfId="7" applyFont="1" applyBorder="1" applyAlignment="1">
      <alignment horizontal="justify" vertical="center" wrapText="1"/>
    </xf>
    <xf numFmtId="0" fontId="51" fillId="11" borderId="71" xfId="7" applyFont="1" applyFill="1" applyBorder="1" applyAlignment="1">
      <alignment horizontal="justify" vertical="center" wrapText="1"/>
    </xf>
    <xf numFmtId="0" fontId="51" fillId="11" borderId="71" xfId="7" applyFont="1" applyFill="1" applyBorder="1" applyAlignment="1">
      <alignment horizontal="center" vertical="center" wrapText="1"/>
    </xf>
    <xf numFmtId="0" fontId="51" fillId="11" borderId="0" xfId="7" applyFont="1" applyFill="1" applyAlignment="1">
      <alignment horizontal="justify" vertical="center" wrapText="1"/>
    </xf>
    <xf numFmtId="4" fontId="21" fillId="11" borderId="71" xfId="7" applyNumberFormat="1" applyFont="1" applyFill="1" applyBorder="1" applyAlignment="1">
      <alignment horizontal="justify" vertical="center" wrapText="1"/>
    </xf>
    <xf numFmtId="0" fontId="38" fillId="0" borderId="44" xfId="7" applyBorder="1"/>
    <xf numFmtId="0" fontId="38" fillId="0" borderId="46" xfId="7" applyBorder="1"/>
    <xf numFmtId="0" fontId="51" fillId="11" borderId="60" xfId="7" applyFont="1" applyFill="1" applyBorder="1" applyAlignment="1">
      <alignment horizontal="justify" vertical="center" wrapText="1"/>
    </xf>
    <xf numFmtId="0" fontId="38" fillId="0" borderId="47" xfId="7" applyBorder="1"/>
    <xf numFmtId="0" fontId="38" fillId="0" borderId="49" xfId="7" applyBorder="1"/>
    <xf numFmtId="0" fontId="54" fillId="0" borderId="66" xfId="7" applyFont="1" applyBorder="1" applyAlignment="1">
      <alignment horizontal="justify" vertical="center" wrapText="1"/>
    </xf>
    <xf numFmtId="0" fontId="51" fillId="0" borderId="72" xfId="7" applyFont="1" applyBorder="1" applyAlignment="1">
      <alignment horizontal="justify" vertical="center" wrapText="1"/>
    </xf>
    <xf numFmtId="0" fontId="51" fillId="11" borderId="71" xfId="7" applyFont="1" applyFill="1" applyBorder="1" applyAlignment="1">
      <alignment horizontal="center" vertical="center"/>
    </xf>
    <xf numFmtId="0" fontId="54" fillId="0" borderId="0" xfId="7" applyFont="1" applyAlignment="1">
      <alignment horizontal="justify" vertical="center" wrapText="1"/>
    </xf>
    <xf numFmtId="0" fontId="54" fillId="0" borderId="68" xfId="7" applyFont="1" applyBorder="1" applyAlignment="1">
      <alignment horizontal="justify" vertical="center" wrapText="1"/>
    </xf>
    <xf numFmtId="0" fontId="51" fillId="0" borderId="52" xfId="7" applyFont="1" applyBorder="1" applyAlignment="1">
      <alignment horizontal="justify" vertical="center" wrapText="1"/>
    </xf>
    <xf numFmtId="0" fontId="51" fillId="0" borderId="52" xfId="7" applyFont="1" applyBorder="1" applyAlignment="1">
      <alignment horizontal="center"/>
    </xf>
    <xf numFmtId="4" fontId="21" fillId="0" borderId="52" xfId="7" applyNumberFormat="1" applyFont="1" applyBorder="1" applyAlignment="1">
      <alignment horizontal="justify" vertical="center" wrapText="1"/>
    </xf>
    <xf numFmtId="0" fontId="54" fillId="0" borderId="26" xfId="7" applyFont="1" applyBorder="1" applyAlignment="1">
      <alignment horizontal="justify" vertical="center" wrapText="1"/>
    </xf>
    <xf numFmtId="0" fontId="55" fillId="11" borderId="73" xfId="7" applyFont="1" applyFill="1" applyBorder="1" applyAlignment="1">
      <alignment horizontal="center" vertical="center" wrapText="1"/>
    </xf>
    <xf numFmtId="0" fontId="51" fillId="11" borderId="74" xfId="7" applyFont="1" applyFill="1" applyBorder="1" applyAlignment="1">
      <alignment horizontal="justify" vertical="center" wrapText="1"/>
    </xf>
    <xf numFmtId="0" fontId="51" fillId="11" borderId="32" xfId="7" applyFont="1" applyFill="1" applyBorder="1" applyAlignment="1">
      <alignment horizontal="center" vertical="center" wrapText="1"/>
    </xf>
    <xf numFmtId="0" fontId="55" fillId="11" borderId="71" xfId="7" applyFont="1" applyFill="1" applyBorder="1" applyAlignment="1">
      <alignment horizontal="center" vertical="center" wrapText="1"/>
    </xf>
    <xf numFmtId="4" fontId="21" fillId="11" borderId="33" xfId="7" applyNumberFormat="1" applyFont="1" applyFill="1" applyBorder="1" applyAlignment="1">
      <alignment horizontal="justify" vertical="center" wrapText="1"/>
    </xf>
    <xf numFmtId="0" fontId="55" fillId="0" borderId="61" xfId="7" applyFont="1" applyBorder="1" applyAlignment="1">
      <alignment horizontal="center" vertical="center" wrapText="1"/>
    </xf>
    <xf numFmtId="0" fontId="55" fillId="11" borderId="57" xfId="7" applyFont="1" applyFill="1" applyBorder="1" applyAlignment="1">
      <alignment horizontal="center" vertical="center" wrapText="1"/>
    </xf>
    <xf numFmtId="0" fontId="51" fillId="11" borderId="72" xfId="7" applyFont="1" applyFill="1" applyBorder="1" applyAlignment="1">
      <alignment horizontal="justify" vertical="center" wrapText="1"/>
    </xf>
    <xf numFmtId="0" fontId="55" fillId="13" borderId="57" xfId="7" applyFont="1" applyFill="1" applyBorder="1" applyAlignment="1">
      <alignment horizontal="center" vertical="center" wrapText="1"/>
    </xf>
    <xf numFmtId="0" fontId="38" fillId="0" borderId="1" xfId="7" applyBorder="1"/>
    <xf numFmtId="0" fontId="55" fillId="0" borderId="2" xfId="7" applyFont="1" applyBorder="1" applyAlignment="1">
      <alignment horizontal="center" vertical="center" wrapText="1"/>
    </xf>
    <xf numFmtId="0" fontId="38" fillId="0" borderId="2" xfId="7" applyBorder="1"/>
    <xf numFmtId="0" fontId="51" fillId="0" borderId="2" xfId="7" applyFont="1" applyBorder="1" applyAlignment="1">
      <alignment horizontal="justify" vertical="center" wrapText="1"/>
    </xf>
    <xf numFmtId="0" fontId="51" fillId="0" borderId="2" xfId="7" applyFont="1" applyBorder="1" applyAlignment="1">
      <alignment horizontal="center" vertical="center" wrapText="1"/>
    </xf>
    <xf numFmtId="0" fontId="51" fillId="0" borderId="2" xfId="7" applyFont="1" applyBorder="1" applyAlignment="1">
      <alignment horizontal="center" vertical="center"/>
    </xf>
    <xf numFmtId="4" fontId="21" fillId="0" borderId="2" xfId="7" applyNumberFormat="1" applyFont="1" applyBorder="1" applyAlignment="1">
      <alignment horizontal="justify" vertical="center" wrapText="1"/>
    </xf>
    <xf numFmtId="0" fontId="55" fillId="30" borderId="61" xfId="7" applyFont="1" applyFill="1" applyBorder="1" applyAlignment="1">
      <alignment horizontal="center" vertical="center" wrapText="1"/>
    </xf>
    <xf numFmtId="0" fontId="55" fillId="31" borderId="61" xfId="7" applyFont="1" applyFill="1" applyBorder="1" applyAlignment="1">
      <alignment horizontal="center" vertical="center" wrapText="1"/>
    </xf>
    <xf numFmtId="0" fontId="54" fillId="0" borderId="2" xfId="7" applyFont="1" applyBorder="1" applyAlignment="1">
      <alignment horizontal="justify" vertical="center" wrapText="1"/>
    </xf>
    <xf numFmtId="0" fontId="51" fillId="30" borderId="2" xfId="7" applyFont="1" applyFill="1" applyBorder="1" applyAlignment="1">
      <alignment horizontal="center" vertical="center" wrapText="1"/>
    </xf>
    <xf numFmtId="4" fontId="21" fillId="0" borderId="7" xfId="7" applyNumberFormat="1" applyFont="1" applyBorder="1" applyAlignment="1">
      <alignment horizontal="justify" vertical="center" wrapText="1"/>
    </xf>
    <xf numFmtId="0" fontId="51" fillId="11" borderId="2" xfId="7" applyFont="1" applyFill="1" applyBorder="1" applyAlignment="1">
      <alignment horizontal="justify" vertical="center" wrapText="1"/>
    </xf>
    <xf numFmtId="0" fontId="51" fillId="11" borderId="2" xfId="7" applyFont="1" applyFill="1" applyBorder="1" applyAlignment="1">
      <alignment horizontal="center" vertical="center" wrapText="1"/>
    </xf>
    <xf numFmtId="4" fontId="21" fillId="11" borderId="7" xfId="7" applyNumberFormat="1" applyFont="1" applyFill="1" applyBorder="1" applyAlignment="1">
      <alignment horizontal="justify" vertical="center" wrapText="1"/>
    </xf>
    <xf numFmtId="0" fontId="54" fillId="0" borderId="38" xfId="7" applyFont="1" applyBorder="1" applyAlignment="1">
      <alignment horizontal="justify" vertical="center" wrapText="1"/>
    </xf>
    <xf numFmtId="0" fontId="51" fillId="30" borderId="2" xfId="7" applyFont="1" applyFill="1" applyBorder="1" applyAlignment="1">
      <alignment horizontal="justify" vertical="center" wrapText="1"/>
    </xf>
    <xf numFmtId="0" fontId="51" fillId="0" borderId="1" xfId="7" applyFont="1" applyBorder="1" applyAlignment="1">
      <alignment horizontal="justify" vertical="center" wrapText="1"/>
    </xf>
    <xf numFmtId="0" fontId="54" fillId="0" borderId="1" xfId="7" applyFont="1" applyBorder="1" applyAlignment="1">
      <alignment horizontal="justify" vertical="center" wrapText="1"/>
    </xf>
    <xf numFmtId="0" fontId="38" fillId="0" borderId="48" xfId="7" applyBorder="1"/>
    <xf numFmtId="0" fontId="54" fillId="0" borderId="81" xfId="7" applyFont="1" applyBorder="1" applyAlignment="1">
      <alignment horizontal="justify" vertical="center" wrapText="1"/>
    </xf>
    <xf numFmtId="0" fontId="51" fillId="0" borderId="10" xfId="7" applyFont="1" applyBorder="1" applyAlignment="1">
      <alignment horizontal="justify" vertical="center" wrapText="1"/>
    </xf>
    <xf numFmtId="0" fontId="51" fillId="0" borderId="10" xfId="7" applyFont="1" applyBorder="1" applyAlignment="1">
      <alignment horizontal="center" vertical="center" wrapText="1"/>
    </xf>
    <xf numFmtId="4" fontId="21" fillId="0" borderId="11" xfId="7" applyNumberFormat="1" applyFont="1" applyBorder="1" applyAlignment="1">
      <alignment horizontal="justify" vertical="center" wrapText="1"/>
    </xf>
    <xf numFmtId="4" fontId="52" fillId="29" borderId="56" xfId="7" applyNumberFormat="1" applyFont="1" applyFill="1" applyBorder="1" applyAlignment="1">
      <alignment vertical="center" wrapText="1"/>
    </xf>
    <xf numFmtId="0" fontId="51" fillId="30" borderId="57" xfId="7" applyFont="1" applyFill="1" applyBorder="1" applyAlignment="1">
      <alignment horizontal="center" vertical="center" wrapText="1"/>
    </xf>
    <xf numFmtId="0" fontId="48" fillId="0" borderId="76" xfId="7" applyFont="1" applyBorder="1" applyAlignment="1">
      <alignment horizontal="justify" vertical="center" wrapText="1"/>
    </xf>
    <xf numFmtId="0" fontId="48" fillId="0" borderId="0" xfId="7" applyFont="1" applyAlignment="1">
      <alignment horizontal="justify" vertical="center" wrapText="1"/>
    </xf>
    <xf numFmtId="0" fontId="54" fillId="0" borderId="8" xfId="7" applyFont="1" applyBorder="1" applyAlignment="1">
      <alignment horizontal="justify" vertical="center" wrapText="1"/>
    </xf>
    <xf numFmtId="0" fontId="54" fillId="0" borderId="77" xfId="7" applyFont="1" applyBorder="1" applyAlignment="1">
      <alignment horizontal="justify" vertical="center" wrapText="1"/>
    </xf>
    <xf numFmtId="0" fontId="38" fillId="31" borderId="57" xfId="7" applyFill="1" applyBorder="1"/>
    <xf numFmtId="0" fontId="38" fillId="0" borderId="57" xfId="7" applyBorder="1"/>
    <xf numFmtId="0" fontId="51" fillId="31" borderId="57" xfId="7" applyFont="1" applyFill="1" applyBorder="1" applyAlignment="1">
      <alignment horizontal="center" vertical="center" wrapText="1"/>
    </xf>
    <xf numFmtId="0" fontId="38" fillId="0" borderId="76" xfId="7" applyBorder="1"/>
    <xf numFmtId="0" fontId="53" fillId="0" borderId="76" xfId="7" applyFont="1" applyBorder="1" applyAlignment="1">
      <alignment horizontal="justify" vertical="center" wrapText="1"/>
    </xf>
    <xf numFmtId="0" fontId="53" fillId="0" borderId="0" xfId="7" applyFont="1" applyAlignment="1">
      <alignment horizontal="justify" vertical="center" wrapText="1"/>
    </xf>
    <xf numFmtId="0" fontId="51" fillId="32" borderId="57" xfId="7" applyFont="1" applyFill="1" applyBorder="1" applyAlignment="1">
      <alignment horizontal="justify" vertical="center" wrapText="1"/>
    </xf>
    <xf numFmtId="0" fontId="51" fillId="32" borderId="57" xfId="7" applyFont="1" applyFill="1" applyBorder="1" applyAlignment="1">
      <alignment horizontal="center" vertical="center" wrapText="1"/>
    </xf>
    <xf numFmtId="4" fontId="21" fillId="32" borderId="57" xfId="7" applyNumberFormat="1" applyFont="1" applyFill="1" applyBorder="1" applyAlignment="1">
      <alignment horizontal="justify" vertical="center" wrapText="1"/>
    </xf>
    <xf numFmtId="0" fontId="51" fillId="30" borderId="57" xfId="7" applyFont="1" applyFill="1" applyBorder="1" applyAlignment="1">
      <alignment horizontal="justify" vertical="center" wrapText="1"/>
    </xf>
    <xf numFmtId="4" fontId="57" fillId="33" borderId="54" xfId="7" applyNumberFormat="1" applyFont="1" applyFill="1" applyBorder="1" applyAlignment="1">
      <alignment vertical="center" wrapText="1"/>
    </xf>
    <xf numFmtId="0" fontId="51" fillId="34" borderId="57" xfId="7" applyFont="1" applyFill="1" applyBorder="1" applyAlignment="1">
      <alignment horizontal="justify" vertical="center" wrapText="1"/>
    </xf>
    <xf numFmtId="0" fontId="51" fillId="34" borderId="57" xfId="7" applyFont="1" applyFill="1" applyBorder="1" applyAlignment="1">
      <alignment horizontal="center" vertical="center" wrapText="1"/>
    </xf>
    <xf numFmtId="0" fontId="51" fillId="34" borderId="57" xfId="7" applyFont="1" applyFill="1" applyBorder="1" applyAlignment="1">
      <alignment horizontal="center" vertical="center"/>
    </xf>
    <xf numFmtId="0" fontId="38" fillId="34" borderId="57" xfId="7" applyFill="1" applyBorder="1"/>
    <xf numFmtId="4" fontId="21" fillId="34" borderId="57" xfId="7" applyNumberFormat="1" applyFont="1" applyFill="1" applyBorder="1" applyAlignment="1">
      <alignment horizontal="justify" vertical="center" wrapText="1"/>
    </xf>
    <xf numFmtId="0" fontId="51" fillId="31" borderId="57" xfId="7" applyFont="1" applyFill="1" applyBorder="1" applyAlignment="1">
      <alignment horizontal="justify" vertical="center" wrapText="1"/>
    </xf>
    <xf numFmtId="0" fontId="47" fillId="0" borderId="8" xfId="7" applyFont="1" applyBorder="1" applyAlignment="1">
      <alignment horizontal="justify" vertical="center" wrapText="1"/>
    </xf>
    <xf numFmtId="0" fontId="51" fillId="11" borderId="57" xfId="7" applyFont="1" applyFill="1" applyBorder="1" applyAlignment="1">
      <alignment horizontal="center" vertical="center"/>
    </xf>
    <xf numFmtId="0" fontId="38" fillId="11" borderId="57" xfId="7" applyFill="1" applyBorder="1" applyAlignment="1">
      <alignment vertical="center"/>
    </xf>
    <xf numFmtId="0" fontId="55" fillId="0" borderId="57" xfId="7" applyFont="1" applyBorder="1" applyAlignment="1">
      <alignment horizontal="justify" vertical="center" wrapText="1"/>
    </xf>
    <xf numFmtId="0" fontId="55" fillId="30" borderId="57" xfId="7" applyFont="1" applyFill="1" applyBorder="1" applyAlignment="1">
      <alignment horizontal="justify" vertical="center" wrapText="1"/>
    </xf>
    <xf numFmtId="0" fontId="55" fillId="0" borderId="61" xfId="7" applyFont="1" applyBorder="1" applyAlignment="1">
      <alignment horizontal="justify" vertical="center" wrapText="1"/>
    </xf>
    <xf numFmtId="0" fontId="51" fillId="0" borderId="57" xfId="7" applyFont="1" applyBorder="1" applyAlignment="1">
      <alignment horizontal="center" vertical="center"/>
    </xf>
    <xf numFmtId="0" fontId="51" fillId="0" borderId="57" xfId="7" applyFont="1" applyBorder="1" applyAlignment="1">
      <alignment horizontal="center"/>
    </xf>
    <xf numFmtId="0" fontId="38" fillId="0" borderId="60" xfId="7" applyBorder="1"/>
    <xf numFmtId="0" fontId="38" fillId="0" borderId="53" xfId="7" applyBorder="1"/>
    <xf numFmtId="0" fontId="55" fillId="0" borderId="53" xfId="7" applyFont="1" applyBorder="1" applyAlignment="1">
      <alignment horizontal="center" vertical="center" wrapText="1"/>
    </xf>
    <xf numFmtId="0" fontId="51" fillId="0" borderId="61" xfId="7" applyFont="1" applyBorder="1" applyAlignment="1">
      <alignment horizontal="center" vertical="center" wrapText="1"/>
    </xf>
    <xf numFmtId="0" fontId="51" fillId="0" borderId="61" xfId="7" applyFont="1" applyBorder="1" applyAlignment="1">
      <alignment horizontal="center" vertical="center"/>
    </xf>
    <xf numFmtId="0" fontId="38" fillId="0" borderId="61" xfId="7" applyBorder="1"/>
    <xf numFmtId="4" fontId="59" fillId="12" borderId="57" xfId="7" applyNumberFormat="1" applyFont="1" applyFill="1" applyBorder="1" applyAlignment="1">
      <alignment horizontal="justify" vertical="center" wrapText="1"/>
    </xf>
    <xf numFmtId="0" fontId="52" fillId="29" borderId="44" xfId="7" applyFont="1" applyFill="1" applyBorder="1" applyAlignment="1">
      <alignment horizontal="center" vertical="center" wrapText="1"/>
    </xf>
    <xf numFmtId="0" fontId="52" fillId="29" borderId="45" xfId="7" applyFont="1" applyFill="1" applyBorder="1" applyAlignment="1">
      <alignment horizontal="center" vertical="center" wrapText="1"/>
    </xf>
    <xf numFmtId="0" fontId="52" fillId="29" borderId="46" xfId="7" applyFont="1" applyFill="1" applyBorder="1" applyAlignment="1">
      <alignment horizontal="center" vertical="center" wrapText="1"/>
    </xf>
    <xf numFmtId="0" fontId="38" fillId="0" borderId="31" xfId="7" applyBorder="1"/>
    <xf numFmtId="0" fontId="52" fillId="0" borderId="32" xfId="7" applyFont="1" applyBorder="1" applyAlignment="1">
      <alignment horizontal="center" vertical="center" wrapText="1"/>
    </xf>
    <xf numFmtId="0" fontId="52" fillId="0" borderId="33" xfId="7" applyFont="1" applyBorder="1" applyAlignment="1">
      <alignment horizontal="center" vertical="center" wrapText="1"/>
    </xf>
    <xf numFmtId="4" fontId="52" fillId="0" borderId="55" xfId="7" applyNumberFormat="1" applyFont="1" applyBorder="1" applyAlignment="1">
      <alignment vertical="center" wrapText="1"/>
    </xf>
    <xf numFmtId="0" fontId="53" fillId="0" borderId="76" xfId="7" applyFont="1" applyBorder="1" applyAlignment="1">
      <alignment horizontal="left" vertical="center" wrapText="1"/>
    </xf>
    <xf numFmtId="0" fontId="53" fillId="0" borderId="61" xfId="7" applyFont="1" applyBorder="1" applyAlignment="1">
      <alignment horizontal="left" vertical="center" wrapText="1"/>
    </xf>
    <xf numFmtId="0" fontId="60" fillId="0" borderId="76" xfId="7" applyFont="1" applyBorder="1" applyAlignment="1">
      <alignment horizontal="justify" vertical="center" wrapText="1"/>
    </xf>
    <xf numFmtId="0" fontId="60" fillId="0" borderId="61" xfId="7" applyFont="1" applyBorder="1" applyAlignment="1">
      <alignment horizontal="justify" vertical="center" wrapText="1"/>
    </xf>
    <xf numFmtId="0" fontId="50" fillId="0" borderId="57" xfId="7" applyFont="1" applyBorder="1" applyAlignment="1">
      <alignment horizontal="justify" vertical="center" wrapText="1"/>
    </xf>
    <xf numFmtId="4" fontId="51" fillId="0" borderId="57" xfId="7" applyNumberFormat="1" applyFont="1" applyBorder="1" applyAlignment="1">
      <alignment horizontal="justify" vertical="center" wrapText="1"/>
    </xf>
    <xf numFmtId="0" fontId="62" fillId="0" borderId="0" xfId="7" applyFont="1"/>
    <xf numFmtId="0" fontId="38" fillId="0" borderId="56" xfId="7" applyBorder="1"/>
    <xf numFmtId="0" fontId="51" fillId="30" borderId="61" xfId="7" applyFont="1" applyFill="1" applyBorder="1" applyAlignment="1">
      <alignment horizontal="center" vertical="center" wrapText="1"/>
    </xf>
    <xf numFmtId="0" fontId="51" fillId="0" borderId="45" xfId="7" applyFont="1" applyBorder="1" applyAlignment="1">
      <alignment horizontal="justify" vertical="center" wrapText="1"/>
    </xf>
    <xf numFmtId="0" fontId="51" fillId="0" borderId="45" xfId="7" applyFont="1" applyBorder="1" applyAlignment="1">
      <alignment horizontal="center" vertical="center" wrapText="1"/>
    </xf>
    <xf numFmtId="0" fontId="51" fillId="0" borderId="46" xfId="7" applyFont="1" applyBorder="1" applyAlignment="1">
      <alignment horizontal="justify" vertical="center" wrapText="1"/>
    </xf>
    <xf numFmtId="4" fontId="52" fillId="28" borderId="57" xfId="7" applyNumberFormat="1" applyFont="1" applyFill="1" applyBorder="1" applyAlignment="1">
      <alignment horizontal="justify" vertical="center" wrapText="1"/>
    </xf>
    <xf numFmtId="4" fontId="52" fillId="29" borderId="57" xfId="7" applyNumberFormat="1" applyFont="1" applyFill="1" applyBorder="1" applyAlignment="1">
      <alignment horizontal="justify" vertical="center" wrapText="1"/>
    </xf>
    <xf numFmtId="0" fontId="51" fillId="0" borderId="32" xfId="7" applyFont="1" applyBorder="1" applyAlignment="1">
      <alignment horizontal="justify" vertical="center" wrapText="1"/>
    </xf>
    <xf numFmtId="0" fontId="51" fillId="0" borderId="32" xfId="7" applyFont="1" applyBorder="1" applyAlignment="1">
      <alignment horizontal="center" vertical="center" wrapText="1"/>
    </xf>
    <xf numFmtId="0" fontId="51" fillId="0" borderId="33" xfId="7" applyFont="1" applyBorder="1" applyAlignment="1">
      <alignment horizontal="justify" vertical="center" wrapText="1"/>
    </xf>
    <xf numFmtId="4" fontId="52" fillId="0" borderId="57" xfId="7" applyNumberFormat="1" applyFont="1" applyBorder="1" applyAlignment="1">
      <alignment horizontal="justify" vertical="center" wrapText="1"/>
    </xf>
    <xf numFmtId="0" fontId="51" fillId="0" borderId="0" xfId="7" applyFont="1" applyAlignment="1">
      <alignment horizontal="center"/>
    </xf>
    <xf numFmtId="0" fontId="51" fillId="0" borderId="0" xfId="7" applyFont="1"/>
    <xf numFmtId="164" fontId="63" fillId="0" borderId="2" xfId="1" applyNumberFormat="1" applyFont="1" applyBorder="1" applyAlignment="1" applyProtection="1">
      <alignment horizontal="center" vertical="center" wrapText="1"/>
      <protection locked="0"/>
    </xf>
    <xf numFmtId="164" fontId="45" fillId="0" borderId="2" xfId="0" applyNumberFormat="1" applyFont="1" applyBorder="1" applyAlignment="1" applyProtection="1">
      <alignment wrapText="1"/>
      <protection locked="0"/>
    </xf>
    <xf numFmtId="164" fontId="45" fillId="0" borderId="2" xfId="0" applyNumberFormat="1" applyFont="1" applyBorder="1" applyAlignment="1" applyProtection="1">
      <alignment vertical="center" wrapText="1"/>
      <protection locked="0"/>
    </xf>
    <xf numFmtId="0" fontId="2" fillId="0" borderId="0" xfId="0" applyFont="1" applyBorder="1" applyAlignment="1">
      <alignment vertical="center" wrapText="1"/>
    </xf>
    <xf numFmtId="0" fontId="2" fillId="0" borderId="0" xfId="0" applyFont="1" applyBorder="1" applyAlignment="1">
      <alignment wrapText="1"/>
    </xf>
    <xf numFmtId="166" fontId="6" fillId="0" borderId="0" xfId="6" applyFont="1" applyBorder="1" applyAlignment="1">
      <alignment wrapText="1"/>
    </xf>
    <xf numFmtId="165" fontId="6" fillId="0" borderId="0" xfId="0" applyNumberFormat="1" applyFont="1" applyBorder="1" applyAlignment="1">
      <alignment wrapText="1"/>
    </xf>
    <xf numFmtId="166" fontId="0" fillId="8" borderId="2" xfId="0" applyNumberFormat="1" applyFill="1" applyBorder="1" applyAlignment="1">
      <alignment vertical="center"/>
    </xf>
    <xf numFmtId="164" fontId="0" fillId="8" borderId="2" xfId="0" applyNumberFormat="1" applyFill="1" applyBorder="1" applyAlignment="1">
      <alignment vertical="center"/>
    </xf>
    <xf numFmtId="0" fontId="65" fillId="6" borderId="2" xfId="0" applyFont="1" applyFill="1" applyBorder="1" applyAlignment="1" applyProtection="1">
      <alignment vertical="center" wrapText="1"/>
    </xf>
    <xf numFmtId="0" fontId="65" fillId="2" borderId="2" xfId="0" applyFont="1" applyFill="1" applyBorder="1" applyAlignment="1" applyProtection="1">
      <alignment vertical="center" wrapText="1"/>
    </xf>
    <xf numFmtId="164" fontId="63" fillId="0" borderId="2" xfId="1" applyFont="1" applyBorder="1" applyAlignment="1" applyProtection="1">
      <alignment vertical="center" wrapText="1"/>
      <protection locked="0"/>
    </xf>
    <xf numFmtId="164" fontId="63" fillId="2" borderId="2" xfId="0" applyNumberFormat="1" applyFont="1" applyFill="1" applyBorder="1" applyAlignment="1" applyProtection="1">
      <alignment vertical="center" wrapText="1"/>
    </xf>
    <xf numFmtId="9" fontId="40" fillId="2" borderId="10" xfId="2" applyFont="1" applyFill="1" applyBorder="1" applyAlignment="1">
      <alignment vertical="center" wrapText="1"/>
    </xf>
    <xf numFmtId="10" fontId="40" fillId="2" borderId="10" xfId="2" applyNumberFormat="1" applyFont="1" applyFill="1" applyBorder="1" applyAlignment="1">
      <alignment vertical="center" wrapText="1"/>
    </xf>
    <xf numFmtId="164" fontId="68" fillId="0" borderId="19" xfId="0" applyNumberFormat="1" applyFont="1" applyBorder="1" applyAlignment="1" applyProtection="1">
      <alignment wrapText="1"/>
      <protection locked="0"/>
    </xf>
    <xf numFmtId="164" fontId="68" fillId="0" borderId="2" xfId="0" applyNumberFormat="1" applyFont="1" applyBorder="1" applyAlignment="1" applyProtection="1">
      <alignment wrapText="1"/>
      <protection locked="0"/>
    </xf>
    <xf numFmtId="164" fontId="68" fillId="22" borderId="19" xfId="0" applyNumberFormat="1" applyFont="1" applyFill="1" applyBorder="1" applyAlignment="1">
      <alignment wrapText="1"/>
    </xf>
    <xf numFmtId="164" fontId="68" fillId="22" borderId="2" xfId="0" applyNumberFormat="1" applyFont="1" applyFill="1" applyBorder="1" applyAlignment="1">
      <alignment wrapText="1"/>
    </xf>
    <xf numFmtId="0" fontId="8" fillId="0" borderId="2" xfId="0" applyFont="1" applyBorder="1" applyAlignment="1">
      <alignment wrapText="1"/>
    </xf>
    <xf numFmtId="164" fontId="6" fillId="0" borderId="0" xfId="1" applyFont="1" applyFill="1" applyBorder="1" applyAlignment="1" applyProtection="1">
      <alignment vertical="center" wrapText="1"/>
      <protection locked="0"/>
    </xf>
    <xf numFmtId="164" fontId="2" fillId="0" borderId="2" xfId="1" applyNumberFormat="1" applyFont="1" applyBorder="1" applyAlignment="1" applyProtection="1">
      <alignment horizontal="center" vertical="center" wrapText="1"/>
      <protection locked="0"/>
    </xf>
    <xf numFmtId="0" fontId="3" fillId="0" borderId="0" xfId="0" applyFont="1" applyFill="1" applyBorder="1" applyAlignment="1" applyProtection="1">
      <alignment vertical="center" wrapText="1"/>
      <protection locked="0"/>
    </xf>
    <xf numFmtId="164" fontId="3" fillId="0" borderId="0" xfId="1" applyFont="1" applyFill="1" applyBorder="1" applyAlignment="1" applyProtection="1">
      <alignment vertical="center" wrapText="1"/>
      <protection locked="0"/>
    </xf>
    <xf numFmtId="0" fontId="2" fillId="0" borderId="0" xfId="0" applyFont="1" applyFill="1" applyBorder="1" applyAlignment="1">
      <alignment wrapText="1"/>
    </xf>
    <xf numFmtId="166" fontId="6" fillId="0" borderId="0" xfId="6" applyFont="1" applyBorder="1" applyAlignment="1">
      <alignment vertical="center" wrapText="1"/>
    </xf>
    <xf numFmtId="165" fontId="6" fillId="0" borderId="0" xfId="0" applyNumberFormat="1" applyFont="1" applyFill="1" applyBorder="1" applyAlignment="1">
      <alignment wrapText="1"/>
    </xf>
    <xf numFmtId="164" fontId="68" fillId="0" borderId="2" xfId="0" applyNumberFormat="1" applyFont="1" applyFill="1" applyBorder="1" applyAlignment="1" applyProtection="1">
      <alignment wrapText="1"/>
      <protection locked="0"/>
    </xf>
    <xf numFmtId="164" fontId="2" fillId="0" borderId="0" xfId="0" applyNumberFormat="1" applyFont="1" applyBorder="1" applyAlignment="1">
      <alignment wrapText="1"/>
    </xf>
    <xf numFmtId="164" fontId="43" fillId="22" borderId="4" xfId="1" applyFont="1" applyFill="1" applyBorder="1" applyAlignment="1" applyProtection="1">
      <alignment horizontal="center" vertical="center" wrapText="1"/>
      <protection locked="0"/>
    </xf>
    <xf numFmtId="164" fontId="43" fillId="0" borderId="0" xfId="0" applyNumberFormat="1" applyFont="1" applyBorder="1" applyAlignment="1">
      <alignment wrapText="1"/>
    </xf>
    <xf numFmtId="166" fontId="41" fillId="22" borderId="2" xfId="6" applyFont="1" applyFill="1" applyBorder="1" applyAlignment="1">
      <alignment wrapText="1"/>
    </xf>
    <xf numFmtId="164" fontId="3" fillId="0" borderId="2" xfId="1" applyFont="1" applyFill="1" applyBorder="1" applyAlignment="1" applyProtection="1">
      <alignment horizontal="center" vertical="center" wrapText="1"/>
      <protection locked="0"/>
    </xf>
    <xf numFmtId="164" fontId="11" fillId="0" borderId="0" xfId="1" applyFont="1" applyFill="1" applyBorder="1" applyAlignment="1">
      <alignment wrapText="1"/>
    </xf>
    <xf numFmtId="164" fontId="9" fillId="0" borderId="0" xfId="1" applyFont="1" applyFill="1" applyBorder="1" applyAlignment="1">
      <alignment horizontal="left" wrapText="1"/>
    </xf>
    <xf numFmtId="0" fontId="37" fillId="0" borderId="14" xfId="0" applyFont="1" applyFill="1" applyBorder="1" applyAlignment="1">
      <alignment vertical="center" wrapText="1"/>
    </xf>
    <xf numFmtId="0" fontId="3" fillId="0" borderId="2" xfId="0" applyFont="1" applyFill="1" applyBorder="1" applyAlignment="1" applyProtection="1">
      <alignment horizontal="center" vertical="center" wrapText="1"/>
    </xf>
    <xf numFmtId="164" fontId="6" fillId="0" borderId="2" xfId="1" applyFont="1" applyFill="1" applyBorder="1" applyAlignment="1" applyProtection="1">
      <alignment horizontal="center" vertical="center" wrapText="1"/>
      <protection locked="0"/>
    </xf>
    <xf numFmtId="164" fontId="6" fillId="0" borderId="0" xfId="1" applyFont="1" applyFill="1" applyBorder="1" applyAlignment="1" applyProtection="1">
      <alignment horizontal="center" vertical="center" wrapText="1"/>
      <protection locked="0"/>
    </xf>
    <xf numFmtId="164" fontId="6" fillId="0" borderId="2" xfId="1" applyFont="1" applyFill="1" applyBorder="1" applyAlignment="1" applyProtection="1">
      <alignment vertical="center" wrapText="1"/>
      <protection locked="0"/>
    </xf>
    <xf numFmtId="164" fontId="6" fillId="0" borderId="12" xfId="0" applyNumberFormat="1" applyFont="1" applyFill="1" applyBorder="1" applyAlignment="1" applyProtection="1">
      <alignment vertical="center" wrapText="1"/>
    </xf>
    <xf numFmtId="164" fontId="6" fillId="0" borderId="7" xfId="0" applyNumberFormat="1" applyFont="1" applyFill="1" applyBorder="1" applyAlignment="1" applyProtection="1">
      <alignment vertical="center" wrapText="1"/>
    </xf>
    <xf numFmtId="164" fontId="3" fillId="0" borderId="7" xfId="0" applyNumberFormat="1" applyFont="1" applyFill="1" applyBorder="1" applyAlignment="1" applyProtection="1">
      <alignment vertical="center" wrapText="1"/>
    </xf>
    <xf numFmtId="10" fontId="66" fillId="0" borderId="11" xfId="2" applyNumberFormat="1" applyFont="1" applyFill="1" applyBorder="1" applyAlignment="1">
      <alignment wrapText="1"/>
    </xf>
    <xf numFmtId="0" fontId="0" fillId="0" borderId="19" xfId="0" applyFont="1" applyBorder="1" applyAlignment="1">
      <alignment wrapText="1"/>
    </xf>
    <xf numFmtId="0" fontId="3" fillId="3" borderId="2" xfId="0" applyFont="1" applyFill="1" applyBorder="1" applyAlignment="1" applyProtection="1">
      <alignment vertical="center" wrapText="1"/>
    </xf>
    <xf numFmtId="0" fontId="0" fillId="0" borderId="66" xfId="0" applyBorder="1"/>
    <xf numFmtId="164" fontId="0" fillId="0" borderId="13" xfId="0" applyNumberFormat="1" applyBorder="1"/>
    <xf numFmtId="164" fontId="0" fillId="0" borderId="14" xfId="0" applyNumberFormat="1" applyBorder="1"/>
    <xf numFmtId="0" fontId="0" fillId="0" borderId="14" xfId="0" applyBorder="1"/>
    <xf numFmtId="0" fontId="0" fillId="0" borderId="12" xfId="0" applyBorder="1"/>
    <xf numFmtId="164" fontId="43" fillId="22" borderId="6" xfId="1" applyFont="1" applyFill="1" applyBorder="1" applyAlignment="1" applyProtection="1">
      <alignment horizontal="center" vertical="center" wrapText="1"/>
      <protection locked="0"/>
    </xf>
    <xf numFmtId="10" fontId="0" fillId="0" borderId="7" xfId="2" applyNumberFormat="1" applyFont="1" applyBorder="1" applyAlignment="1">
      <alignment vertical="center"/>
    </xf>
    <xf numFmtId="164" fontId="43" fillId="22" borderId="9" xfId="1" applyFont="1" applyFill="1" applyBorder="1" applyAlignment="1" applyProtection="1">
      <alignment horizontal="center" vertical="center" wrapText="1"/>
      <protection locked="0"/>
    </xf>
    <xf numFmtId="173" fontId="0" fillId="0" borderId="10" xfId="0" applyNumberFormat="1" applyBorder="1"/>
    <xf numFmtId="164" fontId="0" fillId="0" borderId="10" xfId="0" applyNumberFormat="1" applyBorder="1"/>
    <xf numFmtId="170" fontId="0" fillId="8" borderId="10" xfId="0" applyNumberFormat="1" applyFill="1" applyBorder="1"/>
    <xf numFmtId="164" fontId="0" fillId="8" borderId="10" xfId="0" applyNumberFormat="1" applyFill="1" applyBorder="1"/>
    <xf numFmtId="10" fontId="0" fillId="0" borderId="11" xfId="2" applyNumberFormat="1" applyFont="1" applyBorder="1"/>
    <xf numFmtId="166" fontId="2" fillId="0" borderId="0" xfId="6" applyFont="1" applyBorder="1" applyAlignment="1">
      <alignment wrapText="1"/>
    </xf>
    <xf numFmtId="164" fontId="6" fillId="0" borderId="0" xfId="0" applyNumberFormat="1" applyFont="1" applyFill="1" applyBorder="1" applyAlignment="1" applyProtection="1">
      <alignment vertical="center" wrapText="1"/>
      <protection locked="0"/>
    </xf>
    <xf numFmtId="175" fontId="6" fillId="0" borderId="0" xfId="6" applyNumberFormat="1" applyFont="1" applyBorder="1" applyAlignment="1">
      <alignment wrapText="1"/>
    </xf>
    <xf numFmtId="166" fontId="6" fillId="0" borderId="0" xfId="6" applyFont="1" applyFill="1" applyBorder="1" applyAlignment="1">
      <alignment wrapText="1"/>
    </xf>
    <xf numFmtId="0" fontId="64" fillId="0" borderId="0" xfId="0" applyFont="1" applyBorder="1" applyAlignment="1">
      <alignment wrapText="1"/>
    </xf>
    <xf numFmtId="165" fontId="2" fillId="0" borderId="0" xfId="0" applyNumberFormat="1" applyFont="1" applyBorder="1" applyAlignment="1">
      <alignment wrapText="1"/>
    </xf>
    <xf numFmtId="164" fontId="0" fillId="0" borderId="0" xfId="0" applyNumberFormat="1" applyFont="1" applyBorder="1" applyAlignment="1">
      <alignment wrapText="1"/>
    </xf>
    <xf numFmtId="164" fontId="8" fillId="0" borderId="2" xfId="0" applyNumberFormat="1" applyFont="1" applyBorder="1" applyAlignment="1">
      <alignment vertical="center"/>
    </xf>
    <xf numFmtId="0" fontId="36" fillId="0" borderId="93" xfId="0" applyFont="1" applyBorder="1" applyAlignment="1">
      <alignment vertical="top" wrapText="1"/>
    </xf>
    <xf numFmtId="166" fontId="69" fillId="0" borderId="2" xfId="6" applyFont="1" applyBorder="1" applyAlignment="1">
      <alignment wrapText="1"/>
    </xf>
    <xf numFmtId="166" fontId="43" fillId="0" borderId="2" xfId="6" applyFont="1" applyBorder="1" applyAlignment="1">
      <alignment wrapText="1"/>
    </xf>
    <xf numFmtId="0" fontId="36" fillId="0" borderId="0" xfId="0" applyFont="1" applyAlignment="1">
      <alignment readingOrder="1"/>
    </xf>
    <xf numFmtId="0" fontId="36" fillId="0" borderId="93" xfId="0" applyFont="1" applyBorder="1" applyAlignment="1">
      <alignment vertical="top" wrapText="1" readingOrder="1"/>
    </xf>
    <xf numFmtId="0" fontId="36" fillId="0" borderId="0" xfId="0" applyFont="1" applyAlignment="1"/>
    <xf numFmtId="166" fontId="36" fillId="0" borderId="0" xfId="6" applyFont="1" applyBorder="1" applyAlignment="1"/>
    <xf numFmtId="166" fontId="36" fillId="0" borderId="0" xfId="6" applyFont="1" applyBorder="1" applyAlignment="1">
      <alignment readingOrder="1"/>
    </xf>
    <xf numFmtId="166" fontId="2" fillId="0" borderId="2" xfId="6" applyFont="1" applyBorder="1" applyAlignment="1">
      <alignment vertical="center" wrapText="1"/>
    </xf>
    <xf numFmtId="166" fontId="64" fillId="0" borderId="2" xfId="6" applyFont="1" applyBorder="1" applyAlignment="1">
      <alignment vertical="center" wrapText="1"/>
    </xf>
    <xf numFmtId="166" fontId="2" fillId="3" borderId="2" xfId="6" applyFont="1" applyFill="1" applyBorder="1" applyAlignment="1">
      <alignment vertical="center" wrapText="1"/>
    </xf>
    <xf numFmtId="166" fontId="2" fillId="0" borderId="2" xfId="6" applyFont="1" applyFill="1" applyBorder="1" applyAlignment="1">
      <alignment vertical="center" wrapText="1"/>
    </xf>
    <xf numFmtId="166" fontId="64" fillId="0" borderId="2" xfId="6" applyFont="1" applyFill="1" applyBorder="1" applyAlignment="1">
      <alignment vertical="center" wrapText="1"/>
    </xf>
    <xf numFmtId="164" fontId="0" fillId="0" borderId="2" xfId="0" applyNumberFormat="1" applyFont="1" applyBorder="1" applyAlignment="1">
      <alignment vertical="center"/>
    </xf>
    <xf numFmtId="166" fontId="7" fillId="3" borderId="2" xfId="6" applyFont="1" applyFill="1" applyBorder="1" applyAlignment="1">
      <alignment wrapText="1"/>
    </xf>
    <xf numFmtId="164" fontId="7" fillId="0" borderId="2" xfId="0" applyNumberFormat="1" applyFont="1" applyBorder="1" applyAlignment="1">
      <alignment vertical="center" wrapText="1"/>
    </xf>
    <xf numFmtId="164" fontId="7" fillId="0" borderId="2" xfId="0" applyNumberFormat="1" applyFont="1" applyBorder="1" applyAlignment="1">
      <alignment wrapText="1"/>
    </xf>
    <xf numFmtId="166" fontId="7" fillId="21" borderId="0" xfId="6" applyFont="1" applyFill="1" applyAlignment="1">
      <alignment wrapText="1"/>
    </xf>
    <xf numFmtId="2" fontId="7" fillId="0" borderId="2" xfId="0" applyNumberFormat="1" applyFont="1" applyBorder="1" applyAlignment="1">
      <alignment wrapText="1"/>
    </xf>
    <xf numFmtId="2" fontId="7" fillId="3" borderId="2" xfId="0" applyNumberFormat="1" applyFont="1" applyFill="1" applyBorder="1" applyAlignment="1">
      <alignment wrapText="1"/>
    </xf>
    <xf numFmtId="0" fontId="7" fillId="0" borderId="2" xfId="0" applyFont="1" applyBorder="1" applyAlignment="1">
      <alignment wrapText="1"/>
    </xf>
    <xf numFmtId="166" fontId="3" fillId="0" borderId="0" xfId="6" applyFont="1" applyBorder="1" applyAlignment="1">
      <alignment vertical="center" wrapText="1"/>
    </xf>
    <xf numFmtId="166" fontId="7" fillId="0" borderId="2" xfId="6" applyFont="1" applyBorder="1" applyAlignment="1">
      <alignment wrapText="1"/>
    </xf>
    <xf numFmtId="0" fontId="72" fillId="0" borderId="0" xfId="0" applyFont="1" applyAlignment="1">
      <alignment wrapText="1"/>
    </xf>
    <xf numFmtId="0" fontId="73" fillId="0" borderId="0" xfId="0" applyFont="1" applyAlignment="1">
      <alignment wrapText="1"/>
    </xf>
    <xf numFmtId="9" fontId="2" fillId="0" borderId="0" xfId="2" applyFont="1" applyBorder="1" applyAlignment="1">
      <alignment wrapText="1"/>
    </xf>
    <xf numFmtId="166" fontId="74" fillId="0" borderId="94" xfId="6" applyFont="1" applyBorder="1" applyAlignment="1">
      <alignment vertical="top" wrapText="1" readingOrder="1"/>
    </xf>
    <xf numFmtId="166" fontId="75" fillId="0" borderId="0" xfId="6" applyFont="1" applyBorder="1" applyAlignment="1">
      <alignment wrapText="1"/>
    </xf>
    <xf numFmtId="0" fontId="76" fillId="0" borderId="2" xfId="0" applyFont="1" applyBorder="1" applyAlignment="1">
      <alignment wrapText="1"/>
    </xf>
    <xf numFmtId="164" fontId="63" fillId="2" borderId="14" xfId="0" applyNumberFormat="1" applyFont="1" applyFill="1" applyBorder="1" applyAlignment="1" applyProtection="1">
      <alignment vertical="center" wrapText="1"/>
    </xf>
    <xf numFmtId="164" fontId="65" fillId="2" borderId="2" xfId="0" applyNumberFormat="1" applyFont="1" applyFill="1" applyBorder="1" applyAlignment="1" applyProtection="1">
      <alignment vertical="center" wrapText="1"/>
    </xf>
    <xf numFmtId="164" fontId="63" fillId="3" borderId="2" xfId="8" applyNumberFormat="1" applyFont="1" applyFill="1" applyBorder="1" applyAlignment="1">
      <alignment horizontal="center" vertical="center" wrapText="1"/>
    </xf>
    <xf numFmtId="164" fontId="65" fillId="0" borderId="2" xfId="1" applyFont="1" applyBorder="1" applyAlignment="1" applyProtection="1">
      <alignment horizontal="center" vertical="center" wrapText="1"/>
      <protection locked="0"/>
    </xf>
    <xf numFmtId="164" fontId="65" fillId="0" borderId="2" xfId="1" applyFont="1" applyFill="1" applyBorder="1" applyAlignment="1" applyProtection="1">
      <alignment horizontal="center" vertical="center" wrapText="1"/>
      <protection locked="0"/>
    </xf>
    <xf numFmtId="164" fontId="45" fillId="0" borderId="2" xfId="0" applyNumberFormat="1" applyFont="1" applyBorder="1" applyAlignment="1">
      <alignment vertical="center" wrapText="1"/>
    </xf>
    <xf numFmtId="164" fontId="63" fillId="0" borderId="2" xfId="1" applyFont="1" applyBorder="1" applyAlignment="1" applyProtection="1">
      <alignment horizontal="center" vertical="center" wrapText="1"/>
      <protection locked="0"/>
    </xf>
    <xf numFmtId="4" fontId="78" fillId="0" borderId="2" xfId="0" applyNumberFormat="1" applyFont="1" applyBorder="1" applyAlignment="1">
      <alignment vertical="center"/>
    </xf>
    <xf numFmtId="164" fontId="65" fillId="0" borderId="2" xfId="1" applyFont="1" applyFill="1" applyBorder="1" applyAlignment="1" applyProtection="1">
      <alignment horizontal="center" vertical="center" wrapText="1"/>
    </xf>
    <xf numFmtId="0" fontId="0" fillId="0" borderId="2" xfId="0" applyFill="1" applyBorder="1" applyAlignment="1">
      <alignment wrapText="1"/>
    </xf>
    <xf numFmtId="164" fontId="0" fillId="0" borderId="2" xfId="0" applyNumberFormat="1" applyFill="1" applyBorder="1" applyAlignment="1">
      <alignment wrapText="1"/>
    </xf>
    <xf numFmtId="0" fontId="13" fillId="0" borderId="2" xfId="0" applyFont="1" applyFill="1" applyBorder="1" applyAlignment="1">
      <alignment wrapText="1"/>
    </xf>
    <xf numFmtId="0" fontId="76" fillId="0" borderId="2" xfId="0" applyFont="1" applyFill="1" applyBorder="1" applyAlignment="1">
      <alignment wrapText="1"/>
    </xf>
    <xf numFmtId="0" fontId="77" fillId="0" borderId="2" xfId="0" applyFont="1" applyFill="1" applyBorder="1" applyAlignment="1">
      <alignment wrapText="1"/>
    </xf>
    <xf numFmtId="166" fontId="63" fillId="0" borderId="2" xfId="6" applyFont="1" applyFill="1" applyBorder="1" applyAlignment="1">
      <alignment vertical="center" wrapText="1"/>
    </xf>
    <xf numFmtId="166" fontId="63" fillId="0" borderId="2" xfId="6" applyFont="1" applyBorder="1" applyAlignment="1">
      <alignment vertical="center" wrapText="1"/>
    </xf>
    <xf numFmtId="166" fontId="41" fillId="0" borderId="0" xfId="6" applyFont="1" applyAlignment="1">
      <alignment wrapText="1"/>
    </xf>
    <xf numFmtId="166" fontId="43" fillId="22" borderId="4" xfId="6" applyFont="1" applyFill="1" applyBorder="1" applyAlignment="1">
      <alignment horizontal="center" vertical="center" wrapText="1"/>
    </xf>
    <xf numFmtId="166" fontId="41" fillId="0" borderId="2" xfId="6" applyFont="1" applyBorder="1" applyAlignment="1">
      <alignment vertical="center" wrapText="1"/>
    </xf>
    <xf numFmtId="166" fontId="41" fillId="21" borderId="0" xfId="6" applyFont="1" applyFill="1" applyAlignment="1">
      <alignment wrapText="1"/>
    </xf>
    <xf numFmtId="166" fontId="41" fillId="22" borderId="0" xfId="6" applyFont="1" applyFill="1" applyAlignment="1">
      <alignment wrapText="1"/>
    </xf>
    <xf numFmtId="166" fontId="43" fillId="0" borderId="0" xfId="6" applyFont="1" applyBorder="1" applyAlignment="1">
      <alignment wrapText="1"/>
    </xf>
    <xf numFmtId="166" fontId="41" fillId="0" borderId="0" xfId="6" applyFont="1" applyBorder="1" applyAlignment="1">
      <alignment wrapText="1"/>
    </xf>
    <xf numFmtId="166" fontId="41" fillId="26" borderId="2" xfId="6" applyFont="1" applyFill="1" applyBorder="1" applyAlignment="1" applyProtection="1">
      <alignment vertical="center" wrapText="1"/>
      <protection locked="0"/>
    </xf>
    <xf numFmtId="166" fontId="43" fillId="24" borderId="2" xfId="6" applyFont="1" applyFill="1" applyBorder="1" applyAlignment="1">
      <alignment vertical="center" wrapText="1"/>
    </xf>
    <xf numFmtId="166" fontId="0" fillId="0" borderId="0" xfId="6" applyFont="1"/>
    <xf numFmtId="166" fontId="0" fillId="0" borderId="14" xfId="6" applyFont="1" applyBorder="1"/>
    <xf numFmtId="166" fontId="0" fillId="0" borderId="2" xfId="6" applyFont="1" applyBorder="1" applyAlignment="1">
      <alignment vertical="center"/>
    </xf>
    <xf numFmtId="166" fontId="0" fillId="0" borderId="10" xfId="6" applyFont="1" applyBorder="1"/>
    <xf numFmtId="0" fontId="51" fillId="0" borderId="90" xfId="7" applyFont="1" applyBorder="1" applyAlignment="1">
      <alignment horizontal="justify" vertical="center" wrapText="1"/>
    </xf>
    <xf numFmtId="0" fontId="51" fillId="0" borderId="91" xfId="7" applyFont="1" applyBorder="1" applyAlignment="1">
      <alignment horizontal="justify" vertical="center" wrapText="1"/>
    </xf>
    <xf numFmtId="0" fontId="51" fillId="0" borderId="31" xfId="7" applyFont="1" applyBorder="1"/>
    <xf numFmtId="0" fontId="51" fillId="0" borderId="32" xfId="7" applyFont="1" applyBorder="1"/>
    <xf numFmtId="0" fontId="38" fillId="0" borderId="76" xfId="7" applyBorder="1"/>
    <xf numFmtId="0" fontId="38" fillId="0" borderId="61" xfId="7" applyBorder="1"/>
    <xf numFmtId="0" fontId="54" fillId="0" borderId="54" xfId="7" applyFont="1" applyBorder="1" applyAlignment="1">
      <alignment horizontal="justify" vertical="center" wrapText="1"/>
    </xf>
    <xf numFmtId="0" fontId="54" fillId="0" borderId="53" xfId="7" applyFont="1" applyBorder="1" applyAlignment="1">
      <alignment horizontal="justify" vertical="center" wrapText="1"/>
    </xf>
    <xf numFmtId="0" fontId="38" fillId="0" borderId="70" xfId="7" applyBorder="1"/>
    <xf numFmtId="0" fontId="38" fillId="0" borderId="57" xfId="7" applyBorder="1"/>
    <xf numFmtId="0" fontId="51" fillId="28" borderId="90" xfId="7" applyFont="1" applyFill="1" applyBorder="1" applyAlignment="1">
      <alignment horizontal="justify" vertical="center" wrapText="1"/>
    </xf>
    <xf numFmtId="0" fontId="51" fillId="28" borderId="91" xfId="7" applyFont="1" applyFill="1" applyBorder="1" applyAlignment="1">
      <alignment horizontal="justify" vertical="center" wrapText="1"/>
    </xf>
    <xf numFmtId="0" fontId="51" fillId="0" borderId="44" xfId="7" applyFont="1" applyBorder="1"/>
    <xf numFmtId="0" fontId="51" fillId="0" borderId="45" xfId="7" applyFont="1" applyBorder="1"/>
    <xf numFmtId="0" fontId="51" fillId="29" borderId="90" xfId="7" applyFont="1" applyFill="1" applyBorder="1" applyAlignment="1">
      <alignment horizontal="justify" vertical="center" wrapText="1"/>
    </xf>
    <xf numFmtId="0" fontId="51" fillId="29" borderId="91" xfId="7" applyFont="1" applyFill="1" applyBorder="1" applyAlignment="1">
      <alignment horizontal="justify" vertical="center" wrapText="1"/>
    </xf>
    <xf numFmtId="0" fontId="38" fillId="11" borderId="54" xfId="7" applyFill="1" applyBorder="1" applyAlignment="1">
      <alignment vertical="center"/>
    </xf>
    <xf numFmtId="4" fontId="21" fillId="11" borderId="54" xfId="7" applyNumberFormat="1" applyFont="1" applyFill="1" applyBorder="1" applyAlignment="1">
      <alignment horizontal="justify" vertical="center" wrapText="1"/>
    </xf>
    <xf numFmtId="0" fontId="61" fillId="0" borderId="76" xfId="7" applyFont="1" applyBorder="1" applyAlignment="1">
      <alignment horizontal="left" vertical="center" wrapText="1"/>
    </xf>
    <xf numFmtId="0" fontId="61" fillId="0" borderId="61" xfId="7" applyFont="1" applyBorder="1" applyAlignment="1">
      <alignment horizontal="left" vertical="center" wrapText="1"/>
    </xf>
    <xf numFmtId="0" fontId="54" fillId="0" borderId="62" xfId="7" applyFont="1" applyBorder="1" applyAlignment="1">
      <alignment horizontal="justify" vertical="center" wrapText="1"/>
    </xf>
    <xf numFmtId="0" fontId="38" fillId="0" borderId="56" xfId="7" applyBorder="1"/>
    <xf numFmtId="0" fontId="55" fillId="30" borderId="54" xfId="7" applyFont="1" applyFill="1" applyBorder="1" applyAlignment="1">
      <alignment horizontal="center" vertical="center" wrapText="1"/>
    </xf>
    <xf numFmtId="0" fontId="51" fillId="11" borderId="54" xfId="7" applyFont="1" applyFill="1" applyBorder="1" applyAlignment="1">
      <alignment horizontal="justify" vertical="center" wrapText="1"/>
    </xf>
    <xf numFmtId="0" fontId="51" fillId="11" borderId="53" xfId="7" applyFont="1" applyFill="1" applyBorder="1" applyAlignment="1">
      <alignment horizontal="center" vertical="center" wrapText="1"/>
    </xf>
    <xf numFmtId="0" fontId="51" fillId="11" borderId="56" xfId="7" applyFont="1" applyFill="1" applyBorder="1" applyAlignment="1">
      <alignment horizontal="center" vertical="center" wrapText="1"/>
    </xf>
    <xf numFmtId="0" fontId="51" fillId="11" borderId="54" xfId="7" applyFont="1" applyFill="1" applyBorder="1" applyAlignment="1">
      <alignment horizontal="center"/>
    </xf>
    <xf numFmtId="0" fontId="38" fillId="0" borderId="54" xfId="7" applyBorder="1"/>
    <xf numFmtId="0" fontId="38" fillId="0" borderId="62" xfId="7" applyBorder="1"/>
    <xf numFmtId="0" fontId="54" fillId="0" borderId="54" xfId="7" applyFont="1" applyBorder="1" applyAlignment="1">
      <alignment horizontal="center" vertical="center" wrapText="1"/>
    </xf>
    <xf numFmtId="0" fontId="53" fillId="0" borderId="76" xfId="7" applyFont="1" applyBorder="1" applyAlignment="1">
      <alignment horizontal="left" vertical="center" wrapText="1"/>
    </xf>
    <xf numFmtId="0" fontId="53" fillId="0" borderId="61" xfId="7" applyFont="1" applyBorder="1" applyAlignment="1">
      <alignment horizontal="left" vertical="center" wrapText="1"/>
    </xf>
    <xf numFmtId="0" fontId="60" fillId="0" borderId="62" xfId="7" applyFont="1" applyBorder="1" applyAlignment="1">
      <alignment horizontal="justify" vertical="center" wrapText="1"/>
    </xf>
    <xf numFmtId="0" fontId="54" fillId="0" borderId="56" xfId="7" applyFont="1" applyBorder="1" applyAlignment="1">
      <alignment horizontal="center" vertical="center" wrapText="1"/>
    </xf>
    <xf numFmtId="0" fontId="38" fillId="0" borderId="55" xfId="7" applyBorder="1"/>
    <xf numFmtId="0" fontId="57" fillId="12" borderId="32" xfId="7" applyFont="1" applyFill="1" applyBorder="1" applyAlignment="1">
      <alignment horizontal="center" vertical="center" wrapText="1"/>
    </xf>
    <xf numFmtId="0" fontId="57" fillId="12" borderId="33" xfId="7" applyFont="1" applyFill="1" applyBorder="1" applyAlignment="1">
      <alignment horizontal="center" vertical="center" wrapText="1"/>
    </xf>
    <xf numFmtId="0" fontId="38" fillId="0" borderId="8" xfId="7" applyBorder="1"/>
    <xf numFmtId="0" fontId="38" fillId="0" borderId="0" xfId="7"/>
    <xf numFmtId="0" fontId="38" fillId="0" borderId="26" xfId="7" applyBorder="1"/>
    <xf numFmtId="0" fontId="54" fillId="0" borderId="57" xfId="7" applyFont="1" applyBorder="1" applyAlignment="1">
      <alignment horizontal="justify" vertical="center" wrapText="1"/>
    </xf>
    <xf numFmtId="0" fontId="54" fillId="0" borderId="56" xfId="7" applyFont="1" applyBorder="1" applyAlignment="1">
      <alignment horizontal="justify" vertical="center" wrapText="1"/>
    </xf>
    <xf numFmtId="0" fontId="54" fillId="0" borderId="60" xfId="7" applyFont="1" applyBorder="1" applyAlignment="1">
      <alignment horizontal="justify" vertical="center" wrapText="1"/>
    </xf>
    <xf numFmtId="0" fontId="54" fillId="0" borderId="45" xfId="7" applyFont="1" applyBorder="1" applyAlignment="1">
      <alignment horizontal="justify" vertical="center" wrapText="1"/>
    </xf>
    <xf numFmtId="0" fontId="54" fillId="0" borderId="46" xfId="7" applyFont="1" applyBorder="1" applyAlignment="1">
      <alignment horizontal="justify" vertical="center" wrapText="1"/>
    </xf>
    <xf numFmtId="0" fontId="54" fillId="0" borderId="0" xfId="7" applyFont="1" applyAlignment="1">
      <alignment horizontal="justify" vertical="center" wrapText="1"/>
    </xf>
    <xf numFmtId="0" fontId="54" fillId="0" borderId="26" xfId="7" applyFont="1" applyBorder="1" applyAlignment="1">
      <alignment horizontal="justify" vertical="center" wrapText="1"/>
    </xf>
    <xf numFmtId="0" fontId="51" fillId="11" borderId="54" xfId="7" applyFont="1" applyFill="1" applyBorder="1" applyAlignment="1">
      <alignment horizontal="center" vertical="center"/>
    </xf>
    <xf numFmtId="0" fontId="51" fillId="11" borderId="54" xfId="7" applyFont="1" applyFill="1" applyBorder="1" applyAlignment="1">
      <alignment horizontal="center" vertical="center" wrapText="1"/>
    </xf>
    <xf numFmtId="0" fontId="56" fillId="0" borderId="8" xfId="7" applyFont="1" applyBorder="1" applyAlignment="1">
      <alignment horizontal="justify" vertical="center" wrapText="1"/>
    </xf>
    <xf numFmtId="0" fontId="56" fillId="0" borderId="0" xfId="7" applyFont="1" applyAlignment="1">
      <alignment horizontal="justify" vertical="center" wrapText="1"/>
    </xf>
    <xf numFmtId="0" fontId="47" fillId="0" borderId="8" xfId="7" applyFont="1" applyBorder="1" applyAlignment="1">
      <alignment horizontal="justify" vertical="center" wrapText="1"/>
    </xf>
    <xf numFmtId="0" fontId="47" fillId="0" borderId="26" xfId="7" applyFont="1" applyBorder="1" applyAlignment="1">
      <alignment horizontal="justify" vertical="center" wrapText="1"/>
    </xf>
    <xf numFmtId="0" fontId="51" fillId="30" borderId="54" xfId="7" applyFont="1" applyFill="1" applyBorder="1" applyAlignment="1">
      <alignment horizontal="justify" vertical="center" wrapText="1"/>
    </xf>
    <xf numFmtId="0" fontId="47" fillId="0" borderId="86" xfId="7" applyFont="1" applyBorder="1" applyAlignment="1">
      <alignment horizontal="justify" vertical="center" wrapText="1"/>
    </xf>
    <xf numFmtId="0" fontId="47" fillId="0" borderId="65" xfId="7" applyFont="1" applyBorder="1" applyAlignment="1">
      <alignment horizontal="justify" vertical="center" wrapText="1"/>
    </xf>
    <xf numFmtId="0" fontId="38" fillId="0" borderId="86" xfId="7" applyBorder="1"/>
    <xf numFmtId="0" fontId="38" fillId="0" borderId="65" xfId="7" applyBorder="1"/>
    <xf numFmtId="0" fontId="49" fillId="0" borderId="44" xfId="7" applyFont="1" applyBorder="1" applyAlignment="1">
      <alignment horizontal="justify" vertical="center" wrapText="1"/>
    </xf>
    <xf numFmtId="0" fontId="49" fillId="0" borderId="45" xfId="7" applyFont="1" applyBorder="1" applyAlignment="1">
      <alignment horizontal="justify" vertical="center" wrapText="1"/>
    </xf>
    <xf numFmtId="0" fontId="54" fillId="0" borderId="44" xfId="7" applyFont="1" applyBorder="1" applyAlignment="1">
      <alignment horizontal="justify" vertical="center" wrapText="1"/>
    </xf>
    <xf numFmtId="0" fontId="54" fillId="0" borderId="55" xfId="7" applyFont="1" applyBorder="1" applyAlignment="1">
      <alignment horizontal="justify" vertical="center" wrapText="1"/>
    </xf>
    <xf numFmtId="0" fontId="55" fillId="30" borderId="54" xfId="7" applyFont="1" applyFill="1" applyBorder="1" applyAlignment="1">
      <alignment horizontal="justify" vertical="center" wrapText="1"/>
    </xf>
    <xf numFmtId="0" fontId="38" fillId="0" borderId="47" xfId="7" applyBorder="1"/>
    <xf numFmtId="0" fontId="38" fillId="0" borderId="49" xfId="7" applyBorder="1"/>
    <xf numFmtId="0" fontId="54" fillId="0" borderId="86" xfId="7" applyFont="1" applyBorder="1" applyAlignment="1">
      <alignment horizontal="justify" vertical="center" wrapText="1"/>
    </xf>
    <xf numFmtId="0" fontId="54" fillId="0" borderId="76" xfId="7" applyFont="1" applyBorder="1" applyAlignment="1">
      <alignment horizontal="justify" vertical="center" wrapText="1"/>
    </xf>
    <xf numFmtId="0" fontId="54" fillId="0" borderId="66" xfId="7" applyFont="1" applyBorder="1" applyAlignment="1">
      <alignment horizontal="justify" vertical="center" wrapText="1"/>
    </xf>
    <xf numFmtId="0" fontId="54" fillId="0" borderId="77" xfId="7" applyFont="1" applyBorder="1" applyAlignment="1">
      <alignment horizontal="justify" vertical="center" wrapText="1"/>
    </xf>
    <xf numFmtId="0" fontId="55" fillId="30" borderId="87" xfId="7" applyFont="1" applyFill="1" applyBorder="1" applyAlignment="1">
      <alignment horizontal="center" vertical="center" wrapText="1"/>
    </xf>
    <xf numFmtId="0" fontId="55" fillId="30" borderId="62" xfId="7" applyFont="1" applyFill="1" applyBorder="1" applyAlignment="1">
      <alignment horizontal="center" vertical="center" wrapText="1"/>
    </xf>
    <xf numFmtId="0" fontId="55" fillId="30" borderId="89" xfId="7" applyFont="1" applyFill="1" applyBorder="1" applyAlignment="1">
      <alignment horizontal="center" vertical="center" wrapText="1"/>
    </xf>
    <xf numFmtId="0" fontId="55" fillId="30" borderId="64" xfId="7" applyFont="1" applyFill="1" applyBorder="1" applyAlignment="1">
      <alignment horizontal="center" vertical="center" wrapText="1"/>
    </xf>
    <xf numFmtId="0" fontId="55" fillId="30" borderId="65" xfId="7" applyFont="1" applyFill="1" applyBorder="1" applyAlignment="1">
      <alignment horizontal="center" vertical="center" wrapText="1"/>
    </xf>
    <xf numFmtId="0" fontId="55" fillId="30" borderId="79" xfId="7" applyFont="1" applyFill="1" applyBorder="1" applyAlignment="1">
      <alignment horizontal="center" vertical="center" wrapText="1"/>
    </xf>
    <xf numFmtId="0" fontId="51" fillId="11" borderId="66" xfId="7" applyFont="1" applyFill="1" applyBorder="1" applyAlignment="1">
      <alignment horizontal="center" vertical="center" wrapText="1"/>
    </xf>
    <xf numFmtId="0" fontId="51" fillId="11" borderId="77" xfId="7" applyFont="1" applyFill="1" applyBorder="1" applyAlignment="1">
      <alignment horizontal="center" vertical="center" wrapText="1"/>
    </xf>
    <xf numFmtId="0" fontId="51" fillId="11" borderId="68" xfId="7" applyFont="1" applyFill="1" applyBorder="1" applyAlignment="1">
      <alignment horizontal="center" vertical="center" wrapText="1"/>
    </xf>
    <xf numFmtId="0" fontId="51" fillId="11" borderId="55" xfId="7" applyFont="1" applyFill="1" applyBorder="1" applyAlignment="1">
      <alignment horizontal="center" vertical="center" wrapText="1"/>
    </xf>
    <xf numFmtId="0" fontId="38" fillId="0" borderId="85" xfId="7" applyBorder="1" applyAlignment="1">
      <alignment horizontal="center"/>
    </xf>
    <xf numFmtId="0" fontId="38" fillId="0" borderId="86" xfId="7" applyBorder="1" applyAlignment="1">
      <alignment horizontal="center"/>
    </xf>
    <xf numFmtId="0" fontId="38" fillId="0" borderId="88" xfId="7" applyBorder="1" applyAlignment="1">
      <alignment horizontal="center"/>
    </xf>
    <xf numFmtId="0" fontId="38" fillId="0" borderId="87" xfId="7" applyBorder="1" applyAlignment="1">
      <alignment horizontal="center"/>
    </xf>
    <xf numFmtId="0" fontId="38" fillId="0" borderId="62" xfId="7" applyBorder="1" applyAlignment="1">
      <alignment horizontal="center"/>
    </xf>
    <xf numFmtId="0" fontId="38" fillId="0" borderId="89" xfId="7" applyBorder="1" applyAlignment="1">
      <alignment horizontal="center"/>
    </xf>
    <xf numFmtId="0" fontId="54" fillId="0" borderId="85" xfId="7" applyFont="1" applyBorder="1" applyAlignment="1">
      <alignment horizontal="justify" vertical="center" wrapText="1"/>
    </xf>
    <xf numFmtId="0" fontId="54" fillId="0" borderId="64" xfId="7" applyFont="1" applyBorder="1" applyAlignment="1">
      <alignment horizontal="justify" vertical="center" wrapText="1"/>
    </xf>
    <xf numFmtId="0" fontId="51" fillId="0" borderId="53" xfId="7" applyFont="1" applyBorder="1" applyAlignment="1">
      <alignment horizontal="center" vertical="center" wrapText="1"/>
    </xf>
    <xf numFmtId="0" fontId="51" fillId="0" borderId="56" xfId="7" applyFont="1" applyBorder="1" applyAlignment="1">
      <alignment horizontal="center" vertical="center" wrapText="1"/>
    </xf>
    <xf numFmtId="0" fontId="54" fillId="0" borderId="45" xfId="7" applyFont="1" applyBorder="1" applyAlignment="1">
      <alignment horizontal="center" vertical="center" wrapText="1"/>
    </xf>
    <xf numFmtId="0" fontId="54" fillId="0" borderId="0" xfId="7" applyFont="1" applyAlignment="1">
      <alignment horizontal="center" vertical="center" wrapText="1"/>
    </xf>
    <xf numFmtId="0" fontId="54" fillId="0" borderId="48" xfId="7" applyFont="1" applyBorder="1" applyAlignment="1">
      <alignment horizontal="center" vertical="center" wrapText="1"/>
    </xf>
    <xf numFmtId="0" fontId="38" fillId="0" borderId="60" xfId="7" applyBorder="1" applyAlignment="1">
      <alignment horizontal="center"/>
    </xf>
    <xf numFmtId="0" fontId="38" fillId="0" borderId="61" xfId="7" applyBorder="1" applyAlignment="1">
      <alignment horizontal="center"/>
    </xf>
    <xf numFmtId="0" fontId="38" fillId="0" borderId="57" xfId="7" applyBorder="1" applyAlignment="1">
      <alignment horizontal="center"/>
    </xf>
    <xf numFmtId="0" fontId="38" fillId="0" borderId="53" xfId="7" applyBorder="1" applyAlignment="1">
      <alignment horizontal="center"/>
    </xf>
    <xf numFmtId="0" fontId="38" fillId="0" borderId="56" xfId="7" applyBorder="1" applyAlignment="1">
      <alignment horizontal="center"/>
    </xf>
    <xf numFmtId="0" fontId="55" fillId="30" borderId="53" xfId="7" applyFont="1" applyFill="1" applyBorder="1" applyAlignment="1">
      <alignment horizontal="center" vertical="center" wrapText="1"/>
    </xf>
    <xf numFmtId="0" fontId="55" fillId="30" borderId="56" xfId="7" applyFont="1" applyFill="1" applyBorder="1" applyAlignment="1">
      <alignment horizontal="center" vertical="center" wrapText="1"/>
    </xf>
    <xf numFmtId="0" fontId="51" fillId="11" borderId="62" xfId="7" applyFont="1" applyFill="1" applyBorder="1" applyAlignment="1">
      <alignment horizontal="center" vertical="center" wrapText="1"/>
    </xf>
    <xf numFmtId="0" fontId="38" fillId="0" borderId="44" xfId="7" applyBorder="1" applyAlignment="1">
      <alignment horizontal="center"/>
    </xf>
    <xf numFmtId="0" fontId="38" fillId="0" borderId="46" xfId="7" applyBorder="1" applyAlignment="1">
      <alignment horizontal="center"/>
    </xf>
    <xf numFmtId="0" fontId="38" fillId="0" borderId="47" xfId="7" applyBorder="1" applyAlignment="1">
      <alignment horizontal="center"/>
    </xf>
    <xf numFmtId="0" fontId="38" fillId="0" borderId="49" xfId="7" applyBorder="1" applyAlignment="1">
      <alignment horizontal="center"/>
    </xf>
    <xf numFmtId="0" fontId="54" fillId="0" borderId="66" xfId="7" applyFont="1" applyBorder="1" applyAlignment="1">
      <alignment horizontal="center" vertical="center" wrapText="1"/>
    </xf>
    <xf numFmtId="0" fontId="54" fillId="0" borderId="68" xfId="7" applyFont="1" applyBorder="1" applyAlignment="1">
      <alignment horizontal="center" vertical="center" wrapText="1"/>
    </xf>
    <xf numFmtId="0" fontId="51" fillId="0" borderId="67" xfId="7" applyFont="1" applyBorder="1" applyAlignment="1">
      <alignment horizontal="center" vertical="center" wrapText="1"/>
    </xf>
    <xf numFmtId="0" fontId="51" fillId="0" borderId="69" xfId="7" applyFont="1" applyBorder="1" applyAlignment="1">
      <alignment horizontal="center" vertical="center" wrapText="1"/>
    </xf>
    <xf numFmtId="0" fontId="51" fillId="31" borderId="53" xfId="7" applyFont="1" applyFill="1" applyBorder="1" applyAlignment="1">
      <alignment horizontal="center" vertical="center" wrapText="1"/>
    </xf>
    <xf numFmtId="0" fontId="51" fillId="31" borderId="56" xfId="7" applyFont="1" applyFill="1" applyBorder="1" applyAlignment="1">
      <alignment horizontal="center" vertical="center" wrapText="1"/>
    </xf>
    <xf numFmtId="0" fontId="51" fillId="30" borderId="53" xfId="7" applyFont="1" applyFill="1" applyBorder="1" applyAlignment="1">
      <alignment horizontal="center" vertical="center" wrapText="1"/>
    </xf>
    <xf numFmtId="0" fontId="51" fillId="30" borderId="56" xfId="7" applyFont="1" applyFill="1" applyBorder="1" applyAlignment="1">
      <alignment horizontal="center" vertical="center" wrapText="1"/>
    </xf>
    <xf numFmtId="0" fontId="51" fillId="0" borderId="54" xfId="7" applyFont="1" applyBorder="1" applyAlignment="1">
      <alignment horizontal="justify" vertical="center" wrapText="1"/>
    </xf>
    <xf numFmtId="0" fontId="51" fillId="0" borderId="62" xfId="7" applyFont="1" applyBorder="1" applyAlignment="1">
      <alignment horizontal="center" vertical="center" wrapText="1"/>
    </xf>
    <xf numFmtId="0" fontId="57" fillId="33" borderId="82" xfId="7" applyFont="1" applyFill="1" applyBorder="1" applyAlignment="1">
      <alignment horizontal="center" vertical="center" wrapText="1"/>
    </xf>
    <xf numFmtId="0" fontId="57" fillId="33" borderId="83" xfId="7" applyFont="1" applyFill="1" applyBorder="1" applyAlignment="1">
      <alignment horizontal="center" vertical="center" wrapText="1"/>
    </xf>
    <xf numFmtId="0" fontId="57" fillId="33" borderId="84" xfId="7" applyFont="1" applyFill="1" applyBorder="1" applyAlignment="1">
      <alignment horizontal="center" vertical="center" wrapText="1"/>
    </xf>
    <xf numFmtId="0" fontId="58" fillId="0" borderId="58" xfId="7" applyFont="1" applyBorder="1" applyAlignment="1">
      <alignment horizontal="justify" vertical="center" wrapText="1"/>
    </xf>
    <xf numFmtId="0" fontId="58" fillId="0" borderId="59" xfId="7" applyFont="1" applyBorder="1" applyAlignment="1">
      <alignment horizontal="justify" vertical="center" wrapText="1"/>
    </xf>
    <xf numFmtId="0" fontId="58" fillId="0" borderId="76" xfId="7" applyFont="1" applyBorder="1" applyAlignment="1">
      <alignment horizontal="justify" vertical="center" wrapText="1"/>
    </xf>
    <xf numFmtId="0" fontId="58" fillId="0" borderId="0" xfId="7" applyFont="1" applyAlignment="1">
      <alignment horizontal="justify" vertical="center" wrapText="1"/>
    </xf>
    <xf numFmtId="0" fontId="38" fillId="31" borderId="54" xfId="7" applyFill="1" applyBorder="1"/>
    <xf numFmtId="0" fontId="51" fillId="30" borderId="54" xfId="7" applyFont="1" applyFill="1" applyBorder="1" applyAlignment="1">
      <alignment horizontal="center" vertical="center" wrapText="1"/>
    </xf>
    <xf numFmtId="0" fontId="47" fillId="0" borderId="62" xfId="7" applyFont="1" applyBorder="1" applyAlignment="1">
      <alignment horizontal="justify" vertical="center" wrapText="1"/>
    </xf>
    <xf numFmtId="4" fontId="21" fillId="0" borderId="54" xfId="7" applyNumberFormat="1" applyFont="1" applyBorder="1" applyAlignment="1">
      <alignment horizontal="justify" vertical="center" wrapText="1"/>
    </xf>
    <xf numFmtId="0" fontId="51" fillId="0" borderId="54" xfId="7" applyFont="1" applyBorder="1" applyAlignment="1">
      <alignment horizontal="center"/>
    </xf>
    <xf numFmtId="0" fontId="48" fillId="0" borderId="76" xfId="7" applyFont="1" applyBorder="1" applyAlignment="1">
      <alignment horizontal="justify" vertical="center" wrapText="1"/>
    </xf>
    <xf numFmtId="0" fontId="48" fillId="0" borderId="61" xfId="7" applyFont="1" applyBorder="1" applyAlignment="1">
      <alignment horizontal="justify" vertical="center" wrapText="1"/>
    </xf>
    <xf numFmtId="0" fontId="48" fillId="0" borderId="0" xfId="7" applyFont="1" applyAlignment="1">
      <alignment horizontal="justify" vertical="center" wrapText="1"/>
    </xf>
    <xf numFmtId="0" fontId="53" fillId="0" borderId="58" xfId="7" applyFont="1" applyBorder="1" applyAlignment="1">
      <alignment horizontal="justify" vertical="center" wrapText="1"/>
    </xf>
    <xf numFmtId="0" fontId="53" fillId="0" borderId="59" xfId="7" applyFont="1" applyBorder="1" applyAlignment="1">
      <alignment horizontal="justify" vertical="center" wrapText="1"/>
    </xf>
    <xf numFmtId="0" fontId="54" fillId="0" borderId="8" xfId="7" applyFont="1" applyBorder="1" applyAlignment="1">
      <alignment horizontal="justify" vertical="center" wrapText="1"/>
    </xf>
    <xf numFmtId="0" fontId="38" fillId="0" borderId="72" xfId="7" applyBorder="1"/>
    <xf numFmtId="0" fontId="54" fillId="0" borderId="44" xfId="7" applyFont="1" applyBorder="1" applyAlignment="1">
      <alignment horizontal="center" vertical="center" wrapText="1"/>
    </xf>
    <xf numFmtId="0" fontId="54" fillId="0" borderId="46" xfId="7" applyFont="1" applyBorder="1" applyAlignment="1">
      <alignment horizontal="center" vertical="center" wrapText="1"/>
    </xf>
    <xf numFmtId="0" fontId="54" fillId="0" borderId="47" xfId="7" applyFont="1" applyBorder="1" applyAlignment="1">
      <alignment horizontal="center" vertical="center" wrapText="1"/>
    </xf>
    <xf numFmtId="0" fontId="54" fillId="0" borderId="49" xfId="7" applyFont="1" applyBorder="1" applyAlignment="1">
      <alignment horizontal="center" vertical="center" wrapText="1"/>
    </xf>
    <xf numFmtId="0" fontId="38" fillId="31" borderId="55" xfId="7" applyFill="1" applyBorder="1"/>
    <xf numFmtId="0" fontId="52" fillId="29" borderId="76" xfId="7" applyFont="1" applyFill="1" applyBorder="1" applyAlignment="1">
      <alignment horizontal="center" vertical="center" wrapText="1"/>
    </xf>
    <xf numFmtId="0" fontId="52" fillId="29" borderId="0" xfId="7" applyFont="1" applyFill="1" applyAlignment="1">
      <alignment horizontal="center" vertical="center" wrapText="1"/>
    </xf>
    <xf numFmtId="0" fontId="52" fillId="29" borderId="45" xfId="7" applyFont="1" applyFill="1" applyBorder="1" applyAlignment="1">
      <alignment horizontal="center" vertical="center" wrapText="1"/>
    </xf>
    <xf numFmtId="0" fontId="52" fillId="29" borderId="63" xfId="7" applyFont="1" applyFill="1" applyBorder="1" applyAlignment="1">
      <alignment horizontal="center" vertical="center" wrapText="1"/>
    </xf>
    <xf numFmtId="0" fontId="38" fillId="30" borderId="54" xfId="7" applyFill="1" applyBorder="1"/>
    <xf numFmtId="0" fontId="51" fillId="11" borderId="2" xfId="7" applyFont="1" applyFill="1" applyBorder="1" applyAlignment="1">
      <alignment horizontal="center" vertical="center" wrapText="1"/>
    </xf>
    <xf numFmtId="0" fontId="51" fillId="11" borderId="2" xfId="7" applyFont="1" applyFill="1" applyBorder="1" applyAlignment="1">
      <alignment horizontal="center" vertical="center"/>
    </xf>
    <xf numFmtId="0" fontId="38" fillId="11" borderId="2" xfId="7" applyFill="1" applyBorder="1" applyAlignment="1">
      <alignment vertical="center"/>
    </xf>
    <xf numFmtId="4" fontId="21" fillId="11" borderId="7" xfId="7" applyNumberFormat="1" applyFont="1" applyFill="1" applyBorder="1" applyAlignment="1">
      <alignment horizontal="justify" vertical="center" wrapText="1"/>
    </xf>
    <xf numFmtId="0" fontId="47" fillId="0" borderId="0" xfId="7" applyFont="1" applyAlignment="1">
      <alignment horizontal="justify" vertical="center" wrapText="1"/>
    </xf>
    <xf numFmtId="0" fontId="51" fillId="30" borderId="2" xfId="7" applyFont="1" applyFill="1" applyBorder="1" applyAlignment="1">
      <alignment horizontal="center" vertical="center" wrapText="1"/>
    </xf>
    <xf numFmtId="0" fontId="38" fillId="31" borderId="2" xfId="7" applyFill="1" applyBorder="1"/>
    <xf numFmtId="0" fontId="38" fillId="0" borderId="2" xfId="7" applyBorder="1"/>
    <xf numFmtId="0" fontId="51" fillId="11" borderId="2" xfId="7" applyFont="1" applyFill="1" applyBorder="1" applyAlignment="1">
      <alignment horizontal="justify" vertical="center" wrapText="1"/>
    </xf>
    <xf numFmtId="0" fontId="54" fillId="0" borderId="40" xfId="7" applyFont="1" applyBorder="1" applyAlignment="1">
      <alignment horizontal="justify" vertical="center" wrapText="1"/>
    </xf>
    <xf numFmtId="0" fontId="54" fillId="0" borderId="1" xfId="7" applyFont="1" applyBorder="1" applyAlignment="1">
      <alignment horizontal="justify" vertical="center" wrapText="1"/>
    </xf>
    <xf numFmtId="0" fontId="51" fillId="30" borderId="2" xfId="7" applyFont="1" applyFill="1" applyBorder="1" applyAlignment="1">
      <alignment horizontal="justify" vertical="center" wrapText="1"/>
    </xf>
    <xf numFmtId="0" fontId="51" fillId="11" borderId="2" xfId="7" applyFont="1" applyFill="1" applyBorder="1" applyAlignment="1">
      <alignment horizontal="center"/>
    </xf>
    <xf numFmtId="0" fontId="48" fillId="0" borderId="8" xfId="7" applyFont="1" applyBorder="1" applyAlignment="1">
      <alignment horizontal="justify" vertical="center" wrapText="1"/>
    </xf>
    <xf numFmtId="0" fontId="48" fillId="0" borderId="26" xfId="7" applyFont="1" applyBorder="1" applyAlignment="1">
      <alignment horizontal="justify" vertical="center" wrapText="1"/>
    </xf>
    <xf numFmtId="0" fontId="38" fillId="0" borderId="1" xfId="7" applyBorder="1"/>
    <xf numFmtId="0" fontId="47" fillId="0" borderId="1" xfId="7" applyFont="1" applyBorder="1" applyAlignment="1">
      <alignment horizontal="justify" vertical="center" wrapText="1"/>
    </xf>
    <xf numFmtId="0" fontId="47" fillId="0" borderId="2" xfId="7" applyFont="1" applyBorder="1" applyAlignment="1">
      <alignment horizontal="justify" vertical="center" wrapText="1"/>
    </xf>
    <xf numFmtId="0" fontId="54" fillId="0" borderId="38" xfId="7" applyFont="1" applyBorder="1" applyAlignment="1">
      <alignment horizontal="justify" vertical="center" wrapText="1"/>
    </xf>
    <xf numFmtId="0" fontId="54" fillId="0" borderId="4" xfId="7" applyFont="1" applyBorder="1" applyAlignment="1">
      <alignment horizontal="justify" vertical="center" wrapText="1"/>
    </xf>
    <xf numFmtId="0" fontId="38" fillId="0" borderId="14" xfId="7" applyBorder="1"/>
    <xf numFmtId="0" fontId="51" fillId="0" borderId="14" xfId="7" applyFont="1" applyBorder="1" applyAlignment="1">
      <alignment horizontal="justify" vertical="center" wrapText="1"/>
    </xf>
    <xf numFmtId="0" fontId="51" fillId="0" borderId="2" xfId="7" applyFont="1" applyBorder="1" applyAlignment="1">
      <alignment horizontal="justify" vertical="center" wrapText="1"/>
    </xf>
    <xf numFmtId="0" fontId="51" fillId="0" borderId="14" xfId="7" applyFont="1" applyBorder="1" applyAlignment="1">
      <alignment horizontal="center" vertical="center" wrapText="1"/>
    </xf>
    <xf numFmtId="0" fontId="51" fillId="0" borderId="2" xfId="7" applyFont="1" applyBorder="1" applyAlignment="1">
      <alignment horizontal="center" vertical="center" wrapText="1"/>
    </xf>
    <xf numFmtId="4" fontId="21" fillId="0" borderId="12" xfId="7" applyNumberFormat="1" applyFont="1" applyBorder="1" applyAlignment="1">
      <alignment horizontal="justify" vertical="center" wrapText="1"/>
    </xf>
    <xf numFmtId="4" fontId="21" fillId="0" borderId="7" xfId="7" applyNumberFormat="1" applyFont="1" applyBorder="1" applyAlignment="1">
      <alignment horizontal="justify" vertical="center" wrapText="1"/>
    </xf>
    <xf numFmtId="0" fontId="54" fillId="0" borderId="14" xfId="7" applyFont="1" applyBorder="1" applyAlignment="1">
      <alignment horizontal="justify" vertical="center" wrapText="1"/>
    </xf>
    <xf numFmtId="0" fontId="54" fillId="0" borderId="2" xfId="7" applyFont="1" applyBorder="1" applyAlignment="1">
      <alignment horizontal="justify" vertical="center" wrapText="1"/>
    </xf>
    <xf numFmtId="0" fontId="55" fillId="30" borderId="14" xfId="7" applyFont="1" applyFill="1" applyBorder="1" applyAlignment="1">
      <alignment horizontal="center" vertical="center" wrapText="1"/>
    </xf>
    <xf numFmtId="0" fontId="55" fillId="30" borderId="2" xfId="7" applyFont="1" applyFill="1" applyBorder="1" applyAlignment="1">
      <alignment horizontal="center" vertical="center" wrapText="1"/>
    </xf>
    <xf numFmtId="0" fontId="47" fillId="0" borderId="78" xfId="7" applyFont="1" applyBorder="1" applyAlignment="1">
      <alignment horizontal="justify" vertical="center" wrapText="1"/>
    </xf>
    <xf numFmtId="0" fontId="47" fillId="0" borderId="79" xfId="7" applyFont="1" applyBorder="1" applyAlignment="1">
      <alignment horizontal="justify" vertical="center" wrapText="1"/>
    </xf>
    <xf numFmtId="0" fontId="53" fillId="0" borderId="8" xfId="7" applyFont="1" applyBorder="1" applyAlignment="1">
      <alignment horizontal="justify" vertical="center" wrapText="1"/>
    </xf>
    <xf numFmtId="0" fontId="53" fillId="0" borderId="26" xfId="7" applyFont="1" applyBorder="1" applyAlignment="1">
      <alignment horizontal="justify" vertical="center" wrapText="1"/>
    </xf>
    <xf numFmtId="0" fontId="54" fillId="0" borderId="80" xfId="7" applyFont="1" applyBorder="1" applyAlignment="1">
      <alignment horizontal="justify" vertical="center" wrapText="1"/>
    </xf>
    <xf numFmtId="0" fontId="38" fillId="0" borderId="53" xfId="7" applyBorder="1"/>
    <xf numFmtId="0" fontId="51" fillId="11" borderId="53" xfId="7" applyFont="1" applyFill="1" applyBorder="1" applyAlignment="1">
      <alignment horizontal="justify" vertical="center" wrapText="1"/>
    </xf>
    <xf numFmtId="0" fontId="51" fillId="11" borderId="53" xfId="7" applyFont="1" applyFill="1" applyBorder="1" applyAlignment="1">
      <alignment horizontal="center" vertical="center"/>
    </xf>
    <xf numFmtId="0" fontId="38" fillId="11" borderId="53" xfId="7" applyFill="1" applyBorder="1" applyAlignment="1">
      <alignment vertical="center"/>
    </xf>
    <xf numFmtId="4" fontId="21" fillId="11" borderId="53" xfId="7" applyNumberFormat="1" applyFont="1" applyFill="1" applyBorder="1" applyAlignment="1">
      <alignment horizontal="justify" vertical="center" wrapText="1"/>
    </xf>
    <xf numFmtId="0" fontId="38" fillId="0" borderId="60" xfId="7" applyBorder="1"/>
    <xf numFmtId="0" fontId="38" fillId="0" borderId="48" xfId="7" applyBorder="1"/>
    <xf numFmtId="0" fontId="54" fillId="0" borderId="63" xfId="7" applyFont="1" applyBorder="1" applyAlignment="1">
      <alignment horizontal="justify" vertical="center" wrapText="1"/>
    </xf>
    <xf numFmtId="0" fontId="54" fillId="0" borderId="75" xfId="7" applyFont="1" applyBorder="1" applyAlignment="1">
      <alignment horizontal="justify" vertical="center" wrapText="1"/>
    </xf>
    <xf numFmtId="0" fontId="49" fillId="0" borderId="58" xfId="7" applyFont="1" applyBorder="1" applyAlignment="1">
      <alignment horizontal="center" vertical="center" wrapText="1"/>
    </xf>
    <xf numFmtId="0" fontId="49" fillId="0" borderId="70" xfId="7" applyFont="1" applyBorder="1" applyAlignment="1">
      <alignment horizontal="center" vertical="center" wrapText="1"/>
    </xf>
    <xf numFmtId="0" fontId="49" fillId="0" borderId="66" xfId="7" applyFont="1" applyBorder="1" applyAlignment="1">
      <alignment horizontal="center" vertical="center" wrapText="1"/>
    </xf>
    <xf numFmtId="0" fontId="49" fillId="0" borderId="68" xfId="7" applyFont="1" applyBorder="1" applyAlignment="1">
      <alignment horizontal="center" vertical="center" wrapText="1"/>
    </xf>
    <xf numFmtId="0" fontId="47" fillId="0" borderId="44" xfId="7" applyFont="1" applyBorder="1" applyAlignment="1">
      <alignment horizontal="center" vertical="center" wrapText="1"/>
    </xf>
    <xf numFmtId="0" fontId="47" fillId="0" borderId="46" xfId="7" applyFont="1" applyBorder="1" applyAlignment="1">
      <alignment horizontal="center" vertical="center" wrapText="1"/>
    </xf>
    <xf numFmtId="0" fontId="47" fillId="0" borderId="47" xfId="7" applyFont="1" applyBorder="1" applyAlignment="1">
      <alignment horizontal="center" vertical="center" wrapText="1"/>
    </xf>
    <xf numFmtId="0" fontId="47" fillId="0" borderId="49" xfId="7" applyFont="1" applyBorder="1" applyAlignment="1">
      <alignment horizontal="center" vertical="center" wrapText="1"/>
    </xf>
    <xf numFmtId="0" fontId="55" fillId="30" borderId="67" xfId="7" applyFont="1" applyFill="1" applyBorder="1" applyAlignment="1">
      <alignment horizontal="center" vertical="center" wrapText="1"/>
    </xf>
    <xf numFmtId="0" fontId="55" fillId="30" borderId="69" xfId="7" applyFont="1" applyFill="1" applyBorder="1" applyAlignment="1">
      <alignment horizontal="center" vertical="center" wrapText="1"/>
    </xf>
    <xf numFmtId="0" fontId="55" fillId="0" borderId="53" xfId="7" applyFont="1" applyBorder="1" applyAlignment="1">
      <alignment horizontal="center" vertical="center" wrapText="1"/>
    </xf>
    <xf numFmtId="0" fontId="55" fillId="0" borderId="56" xfId="7" applyFont="1" applyBorder="1" applyAlignment="1">
      <alignment horizontal="center" vertical="center" wrapText="1"/>
    </xf>
    <xf numFmtId="0" fontId="49" fillId="0" borderId="59" xfId="7" applyFont="1" applyBorder="1" applyAlignment="1">
      <alignment horizontal="center" vertical="center" wrapText="1"/>
    </xf>
    <xf numFmtId="0" fontId="49" fillId="0" borderId="48" xfId="7" applyFont="1" applyBorder="1" applyAlignment="1">
      <alignment horizontal="center" vertical="center" wrapText="1"/>
    </xf>
    <xf numFmtId="0" fontId="47" fillId="0" borderId="61" xfId="7" applyFont="1" applyBorder="1" applyAlignment="1">
      <alignment horizontal="justify" vertical="center" wrapText="1"/>
    </xf>
    <xf numFmtId="0" fontId="54" fillId="0" borderId="61" xfId="7" applyFont="1" applyBorder="1" applyAlignment="1">
      <alignment horizontal="justify" vertical="center" wrapText="1"/>
    </xf>
    <xf numFmtId="0" fontId="54" fillId="0" borderId="65" xfId="7" applyFont="1" applyBorder="1" applyAlignment="1">
      <alignment horizontal="justify" vertical="center" wrapText="1"/>
    </xf>
    <xf numFmtId="0" fontId="46" fillId="27" borderId="53" xfId="7" applyFont="1" applyFill="1" applyBorder="1" applyAlignment="1">
      <alignment horizontal="center" vertical="center" wrapText="1"/>
    </xf>
    <xf numFmtId="0" fontId="46" fillId="27" borderId="54" xfId="7" applyFont="1" applyFill="1" applyBorder="1" applyAlignment="1">
      <alignment horizontal="center" vertical="center" wrapText="1"/>
    </xf>
    <xf numFmtId="0" fontId="47" fillId="27" borderId="56" xfId="7" applyFont="1" applyFill="1" applyBorder="1" applyAlignment="1">
      <alignment horizontal="left" vertical="center" wrapText="1"/>
    </xf>
    <xf numFmtId="0" fontId="48" fillId="27" borderId="56" xfId="7" applyFont="1" applyFill="1" applyBorder="1" applyAlignment="1">
      <alignment horizontal="center" vertical="center" wrapText="1"/>
    </xf>
    <xf numFmtId="0" fontId="51" fillId="11" borderId="54" xfId="7" applyFont="1" applyFill="1" applyBorder="1" applyAlignment="1">
      <alignment vertical="center" wrapText="1"/>
    </xf>
    <xf numFmtId="0" fontId="52" fillId="28" borderId="58" xfId="7" applyFont="1" applyFill="1" applyBorder="1" applyAlignment="1">
      <alignment horizontal="center" vertical="center" wrapText="1"/>
    </xf>
    <xf numFmtId="0" fontId="52" fillId="28" borderId="59" xfId="7" applyFont="1" applyFill="1" applyBorder="1" applyAlignment="1">
      <alignment horizontal="center" vertical="center" wrapText="1"/>
    </xf>
    <xf numFmtId="0" fontId="52" fillId="28" borderId="60" xfId="7" applyFont="1" applyFill="1" applyBorder="1" applyAlignment="1">
      <alignment horizontal="center" vertical="center" wrapText="1"/>
    </xf>
    <xf numFmtId="0" fontId="53" fillId="0" borderId="44" xfId="7" applyFont="1" applyBorder="1" applyAlignment="1">
      <alignment horizontal="justify" vertical="center" wrapText="1"/>
    </xf>
    <xf numFmtId="0" fontId="53" fillId="0" borderId="46" xfId="7" applyFont="1" applyBorder="1" applyAlignment="1">
      <alignment horizontal="justify" vertical="center" wrapText="1"/>
    </xf>
    <xf numFmtId="0" fontId="3" fillId="0" borderId="0" xfId="0" applyFont="1" applyFill="1" applyBorder="1" applyAlignment="1">
      <alignment horizontal="center" vertical="center" wrapText="1"/>
    </xf>
    <xf numFmtId="0" fontId="3" fillId="2" borderId="13" xfId="0" applyFont="1" applyFill="1" applyBorder="1" applyAlignment="1" applyProtection="1">
      <alignment horizontal="center" vertical="center" wrapText="1"/>
    </xf>
    <xf numFmtId="0" fontId="3" fillId="2" borderId="14" xfId="0" applyFont="1" applyFill="1" applyBorder="1" applyAlignment="1" applyProtection="1">
      <alignment horizontal="center" vertical="center" wrapText="1"/>
    </xf>
    <xf numFmtId="0" fontId="3" fillId="2" borderId="18" xfId="0" applyFont="1" applyFill="1" applyBorder="1" applyAlignment="1" applyProtection="1">
      <alignment horizontal="center" vertical="center" wrapText="1"/>
    </xf>
    <xf numFmtId="0" fontId="3" fillId="2" borderId="12" xfId="0" applyFont="1" applyFill="1" applyBorder="1" applyAlignment="1" applyProtection="1">
      <alignment horizontal="center" vertical="center" wrapText="1"/>
    </xf>
    <xf numFmtId="0" fontId="0" fillId="5" borderId="9" xfId="0" applyFont="1" applyFill="1" applyBorder="1" applyAlignment="1" applyProtection="1">
      <alignment horizontal="center" vertical="center" wrapText="1"/>
    </xf>
    <xf numFmtId="0" fontId="0" fillId="5" borderId="11" xfId="0" applyFont="1" applyFill="1" applyBorder="1" applyAlignment="1" applyProtection="1">
      <alignment horizontal="center" vertical="center" wrapText="1"/>
    </xf>
    <xf numFmtId="0" fontId="4" fillId="2" borderId="5" xfId="0" applyFont="1" applyFill="1" applyBorder="1" applyAlignment="1" applyProtection="1">
      <alignment horizontal="center" vertical="center" wrapText="1"/>
    </xf>
    <xf numFmtId="0" fontId="4" fillId="2" borderId="17" xfId="0" applyFont="1" applyFill="1" applyBorder="1" applyAlignment="1" applyProtection="1">
      <alignment horizontal="center" vertical="center" wrapText="1"/>
    </xf>
    <xf numFmtId="0" fontId="3" fillId="4" borderId="21" xfId="0" applyFont="1" applyFill="1" applyBorder="1" applyAlignment="1" applyProtection="1">
      <alignment horizontal="center" vertical="center" wrapText="1"/>
    </xf>
    <xf numFmtId="0" fontId="3" fillId="4" borderId="22" xfId="0" applyFont="1" applyFill="1" applyBorder="1" applyAlignment="1" applyProtection="1">
      <alignment horizontal="center" vertical="center" wrapText="1"/>
    </xf>
    <xf numFmtId="0" fontId="3" fillId="4" borderId="23" xfId="0" applyFont="1" applyFill="1" applyBorder="1" applyAlignment="1" applyProtection="1">
      <alignment horizontal="center" vertical="center" wrapText="1"/>
    </xf>
    <xf numFmtId="164" fontId="2" fillId="2" borderId="0" xfId="1" applyFont="1" applyFill="1" applyBorder="1" applyAlignment="1" applyProtection="1">
      <alignment horizontal="center" vertical="center" wrapText="1"/>
      <protection locked="0"/>
    </xf>
    <xf numFmtId="0" fontId="0" fillId="0" borderId="8" xfId="0" applyBorder="1" applyAlignment="1">
      <alignment horizontal="center" wrapText="1"/>
    </xf>
    <xf numFmtId="49" fontId="3" fillId="3" borderId="2" xfId="0" applyNumberFormat="1" applyFont="1" applyFill="1" applyBorder="1" applyAlignment="1" applyProtection="1">
      <alignment horizontal="left" vertical="top" wrapText="1"/>
      <protection locked="0"/>
    </xf>
    <xf numFmtId="164" fontId="3" fillId="3" borderId="2" xfId="1" applyFont="1" applyFill="1" applyBorder="1" applyAlignment="1" applyProtection="1">
      <alignment horizontal="left" vertical="top" wrapText="1"/>
      <protection locked="0"/>
    </xf>
    <xf numFmtId="0" fontId="3" fillId="3" borderId="2" xfId="0" applyNumberFormat="1" applyFont="1" applyFill="1" applyBorder="1" applyAlignment="1" applyProtection="1">
      <alignment horizontal="left" vertical="top" wrapText="1"/>
      <protection locked="0"/>
    </xf>
    <xf numFmtId="0" fontId="2" fillId="3" borderId="2" xfId="0" applyFont="1" applyFill="1" applyBorder="1" applyAlignment="1" applyProtection="1">
      <alignment horizontal="left" vertical="top" wrapText="1"/>
      <protection locked="0"/>
    </xf>
    <xf numFmtId="0" fontId="6" fillId="3" borderId="2" xfId="0" applyFont="1" applyFill="1" applyBorder="1" applyAlignment="1" applyProtection="1">
      <alignment horizontal="left" vertical="top" wrapText="1"/>
      <protection locked="0"/>
    </xf>
    <xf numFmtId="164" fontId="6" fillId="3" borderId="2" xfId="1" applyFont="1" applyFill="1" applyBorder="1" applyAlignment="1" applyProtection="1">
      <alignment horizontal="left" vertical="top" wrapText="1"/>
      <protection locked="0"/>
    </xf>
    <xf numFmtId="0" fontId="3" fillId="3" borderId="2" xfId="0" applyFont="1" applyFill="1" applyBorder="1" applyAlignment="1" applyProtection="1">
      <alignment horizontal="left" vertical="center" wrapText="1"/>
      <protection locked="0"/>
    </xf>
    <xf numFmtId="164" fontId="3" fillId="3" borderId="2" xfId="1" applyFont="1" applyFill="1" applyBorder="1" applyAlignment="1" applyProtection="1">
      <alignment horizontal="left" vertical="center" wrapText="1"/>
      <protection locked="0"/>
    </xf>
    <xf numFmtId="164" fontId="2" fillId="0" borderId="0" xfId="1" applyFont="1" applyFill="1" applyBorder="1" applyAlignment="1" applyProtection="1">
      <alignment horizontal="center" vertical="center" wrapText="1"/>
      <protection locked="0"/>
    </xf>
    <xf numFmtId="0" fontId="14" fillId="0" borderId="0" xfId="0" applyFont="1" applyBorder="1" applyAlignment="1">
      <alignment horizontal="left" vertical="top" wrapText="1"/>
    </xf>
    <xf numFmtId="0" fontId="15" fillId="0" borderId="0" xfId="0" applyFont="1" applyFill="1" applyBorder="1" applyAlignment="1">
      <alignment horizontal="left" wrapText="1"/>
    </xf>
    <xf numFmtId="49" fontId="2" fillId="3" borderId="2" xfId="0" applyNumberFormat="1" applyFont="1" applyFill="1" applyBorder="1" applyAlignment="1" applyProtection="1">
      <alignment horizontal="left" vertical="top" wrapText="1"/>
      <protection locked="0"/>
    </xf>
    <xf numFmtId="49" fontId="6" fillId="3" borderId="2" xfId="0" applyNumberFormat="1" applyFont="1" applyFill="1" applyBorder="1" applyAlignment="1" applyProtection="1">
      <alignment horizontal="left" vertical="top" wrapText="1"/>
      <protection locked="0"/>
    </xf>
    <xf numFmtId="0" fontId="43" fillId="22" borderId="2" xfId="0" applyFont="1" applyFill="1" applyBorder="1" applyAlignment="1">
      <alignment horizontal="left" wrapText="1"/>
    </xf>
    <xf numFmtId="0" fontId="67" fillId="22" borderId="2" xfId="0" applyFont="1" applyFill="1" applyBorder="1" applyAlignment="1">
      <alignment horizontal="left" wrapText="1"/>
    </xf>
    <xf numFmtId="0" fontId="43" fillId="22" borderId="8" xfId="0" applyFont="1" applyFill="1" applyBorder="1" applyAlignment="1">
      <alignment horizontal="left" wrapText="1"/>
    </xf>
    <xf numFmtId="0" fontId="43" fillId="22" borderId="0" xfId="0" applyFont="1" applyFill="1" applyAlignment="1">
      <alignment horizontal="left" wrapText="1"/>
    </xf>
    <xf numFmtId="0" fontId="43" fillId="22" borderId="36" xfId="0" applyFont="1" applyFill="1" applyBorder="1" applyAlignment="1">
      <alignment horizontal="left" wrapText="1"/>
    </xf>
    <xf numFmtId="164" fontId="43" fillId="35" borderId="44" xfId="1" applyFont="1" applyFill="1" applyBorder="1" applyAlignment="1">
      <alignment horizontal="center" wrapText="1"/>
    </xf>
    <xf numFmtId="164" fontId="43" fillId="35" borderId="45" xfId="1" applyFont="1" applyFill="1" applyBorder="1" applyAlignment="1">
      <alignment horizontal="center" wrapText="1"/>
    </xf>
    <xf numFmtId="164" fontId="43" fillId="35" borderId="46" xfId="1" applyFont="1" applyFill="1" applyBorder="1" applyAlignment="1">
      <alignment horizontal="center" wrapText="1"/>
    </xf>
    <xf numFmtId="164" fontId="43" fillId="35" borderId="47" xfId="1" applyFont="1" applyFill="1" applyBorder="1" applyAlignment="1">
      <alignment horizontal="center" wrapText="1"/>
    </xf>
    <xf numFmtId="164" fontId="43" fillId="35" borderId="48" xfId="1" applyFont="1" applyFill="1" applyBorder="1" applyAlignment="1">
      <alignment horizontal="center" wrapText="1"/>
    </xf>
    <xf numFmtId="164" fontId="43" fillId="35" borderId="49" xfId="1" applyFont="1" applyFill="1" applyBorder="1" applyAlignment="1">
      <alignment horizontal="center" wrapText="1"/>
    </xf>
    <xf numFmtId="0" fontId="43" fillId="35" borderId="31" xfId="0" applyFont="1" applyFill="1" applyBorder="1" applyAlignment="1">
      <alignment horizontal="center" wrapText="1"/>
    </xf>
    <xf numFmtId="0" fontId="43" fillId="35" borderId="33" xfId="0" applyFont="1" applyFill="1" applyBorder="1" applyAlignment="1">
      <alignment horizontal="center" wrapText="1"/>
    </xf>
    <xf numFmtId="0" fontId="43" fillId="22" borderId="39" xfId="0" applyFont="1" applyFill="1" applyBorder="1" applyAlignment="1">
      <alignment horizontal="left" wrapText="1"/>
    </xf>
    <xf numFmtId="0" fontId="43" fillId="22" borderId="24" xfId="0" applyFont="1" applyFill="1" applyBorder="1" applyAlignment="1">
      <alignment horizontal="left" wrapText="1"/>
    </xf>
    <xf numFmtId="0" fontId="43" fillId="22" borderId="40" xfId="0" applyFont="1" applyFill="1" applyBorder="1" applyAlignment="1">
      <alignment horizontal="left" wrapText="1"/>
    </xf>
    <xf numFmtId="0" fontId="43" fillId="22" borderId="2" xfId="0" applyFont="1" applyFill="1" applyBorder="1" applyAlignment="1">
      <alignment horizontal="center" wrapText="1"/>
    </xf>
    <xf numFmtId="0" fontId="73" fillId="0" borderId="31" xfId="0" applyFont="1" applyBorder="1" applyAlignment="1">
      <alignment horizontal="center" wrapText="1"/>
    </xf>
    <xf numFmtId="0" fontId="73" fillId="0" borderId="32" xfId="0" applyFont="1" applyBorder="1" applyAlignment="1">
      <alignment horizontal="center" wrapText="1"/>
    </xf>
    <xf numFmtId="0" fontId="73" fillId="0" borderId="33" xfId="0" applyFont="1" applyBorder="1" applyAlignment="1">
      <alignment horizontal="center" wrapText="1"/>
    </xf>
    <xf numFmtId="0" fontId="43" fillId="0" borderId="31" xfId="0" applyFont="1" applyBorder="1" applyAlignment="1">
      <alignment horizontal="center" wrapText="1"/>
    </xf>
    <xf numFmtId="0" fontId="43" fillId="0" borderId="32" xfId="0" applyFont="1" applyBorder="1" applyAlignment="1">
      <alignment horizontal="center" wrapText="1"/>
    </xf>
    <xf numFmtId="0" fontId="43" fillId="0" borderId="33" xfId="0" applyFont="1" applyBorder="1" applyAlignment="1">
      <alignment horizontal="center" wrapText="1"/>
    </xf>
    <xf numFmtId="0" fontId="43" fillId="22" borderId="3" xfId="0" applyFont="1" applyFill="1" applyBorder="1" applyAlignment="1">
      <alignment horizontal="left" wrapText="1"/>
    </xf>
    <xf numFmtId="0" fontId="43" fillId="22" borderId="34" xfId="0" applyFont="1" applyFill="1" applyBorder="1" applyAlignment="1">
      <alignment horizontal="left" wrapText="1"/>
    </xf>
    <xf numFmtId="0" fontId="43" fillId="22" borderId="1" xfId="0" applyFont="1" applyFill="1" applyBorder="1" applyAlignment="1">
      <alignment horizontal="left" wrapText="1"/>
    </xf>
    <xf numFmtId="0" fontId="41" fillId="22" borderId="3" xfId="0" applyFont="1" applyFill="1" applyBorder="1" applyAlignment="1">
      <alignment horizontal="center" wrapText="1"/>
    </xf>
    <xf numFmtId="0" fontId="41" fillId="22" borderId="34" xfId="0" applyFont="1" applyFill="1" applyBorder="1" applyAlignment="1">
      <alignment horizontal="center" wrapText="1"/>
    </xf>
    <xf numFmtId="0" fontId="41" fillId="22" borderId="1" xfId="0" applyFont="1" applyFill="1" applyBorder="1" applyAlignment="1">
      <alignment horizontal="center" wrapText="1"/>
    </xf>
    <xf numFmtId="0" fontId="4" fillId="11" borderId="27" xfId="0" applyFont="1" applyFill="1" applyBorder="1" applyAlignment="1">
      <alignment horizontal="center"/>
    </xf>
    <xf numFmtId="0" fontId="4" fillId="11" borderId="28" xfId="0" applyFont="1" applyFill="1" applyBorder="1" applyAlignment="1">
      <alignment horizontal="center"/>
    </xf>
    <xf numFmtId="0" fontId="4" fillId="11" borderId="29" xfId="0" applyFont="1" applyFill="1" applyBorder="1" applyAlignment="1">
      <alignment horizontal="center"/>
    </xf>
    <xf numFmtId="0" fontId="4" fillId="19" borderId="27" xfId="0" applyFont="1" applyFill="1" applyBorder="1" applyAlignment="1">
      <alignment horizontal="center"/>
    </xf>
    <xf numFmtId="0" fontId="4" fillId="19" borderId="28" xfId="0" applyFont="1" applyFill="1" applyBorder="1" applyAlignment="1">
      <alignment horizontal="center"/>
    </xf>
    <xf numFmtId="0" fontId="4" fillId="19" borderId="92" xfId="0" applyFont="1" applyFill="1" applyBorder="1" applyAlignment="1">
      <alignment horizontal="center"/>
    </xf>
    <xf numFmtId="0" fontId="4" fillId="20" borderId="27" xfId="0" applyFont="1" applyFill="1" applyBorder="1" applyAlignment="1">
      <alignment horizontal="center"/>
    </xf>
    <xf numFmtId="0" fontId="4" fillId="20" borderId="28" xfId="0" applyFont="1" applyFill="1" applyBorder="1" applyAlignment="1">
      <alignment horizontal="center"/>
    </xf>
    <xf numFmtId="0" fontId="4" fillId="20" borderId="92" xfId="0" applyFont="1" applyFill="1" applyBorder="1" applyAlignment="1">
      <alignment horizontal="center"/>
    </xf>
    <xf numFmtId="0" fontId="40" fillId="4" borderId="24" xfId="0" applyFont="1" applyFill="1" applyBorder="1" applyAlignment="1">
      <alignment horizontal="center"/>
    </xf>
    <xf numFmtId="0" fontId="43" fillId="25" borderId="44" xfId="0" applyFont="1" applyFill="1" applyBorder="1" applyAlignment="1">
      <alignment horizontal="center" vertical="center"/>
    </xf>
    <xf numFmtId="0" fontId="43" fillId="25" borderId="45" xfId="0" applyFont="1" applyFill="1" applyBorder="1" applyAlignment="1">
      <alignment horizontal="center" vertical="center"/>
    </xf>
    <xf numFmtId="0" fontId="43" fillId="25" borderId="46" xfId="0" applyFont="1" applyFill="1" applyBorder="1" applyAlignment="1">
      <alignment horizontal="center" vertical="center"/>
    </xf>
    <xf numFmtId="0" fontId="43" fillId="25" borderId="47" xfId="0" applyFont="1" applyFill="1" applyBorder="1" applyAlignment="1">
      <alignment horizontal="center" vertical="center"/>
    </xf>
    <xf numFmtId="0" fontId="43" fillId="25" borderId="48" xfId="0" applyFont="1" applyFill="1" applyBorder="1" applyAlignment="1">
      <alignment horizontal="center" vertical="center"/>
    </xf>
    <xf numFmtId="0" fontId="43" fillId="25" borderId="49" xfId="0" applyFont="1" applyFill="1" applyBorder="1" applyAlignment="1">
      <alignment horizontal="center" vertical="center"/>
    </xf>
    <xf numFmtId="0" fontId="43" fillId="22" borderId="31" xfId="0" applyFont="1" applyFill="1" applyBorder="1" applyAlignment="1">
      <alignment horizontal="center" wrapText="1"/>
    </xf>
    <xf numFmtId="0" fontId="43" fillId="22" borderId="32" xfId="0" applyFont="1" applyFill="1" applyBorder="1" applyAlignment="1">
      <alignment horizontal="center" wrapText="1"/>
    </xf>
    <xf numFmtId="0" fontId="43" fillId="22" borderId="46" xfId="0" applyFont="1" applyFill="1" applyBorder="1" applyAlignment="1">
      <alignment horizontal="center" wrapText="1"/>
    </xf>
    <xf numFmtId="0" fontId="43" fillId="22" borderId="13" xfId="0" applyFont="1" applyFill="1" applyBorder="1" applyAlignment="1">
      <alignment horizontal="center" vertical="center" wrapText="1"/>
    </xf>
    <xf numFmtId="0" fontId="43" fillId="22" borderId="14" xfId="0" applyFont="1" applyFill="1" applyBorder="1" applyAlignment="1">
      <alignment horizontal="center" vertical="center" wrapText="1"/>
    </xf>
    <xf numFmtId="0" fontId="43" fillId="22" borderId="12" xfId="0" applyFont="1" applyFill="1" applyBorder="1" applyAlignment="1">
      <alignment horizontal="center" vertical="center" wrapText="1"/>
    </xf>
  </cellXfs>
  <cellStyles count="43">
    <cellStyle name="Comma [0] 2" xfId="14" xr:uid="{00000000-0005-0000-0000-000000000000}"/>
    <cellStyle name="Lien hypertexte 2" xfId="5" xr:uid="{00000000-0005-0000-0000-000001000000}"/>
    <cellStyle name="Milliers" xfId="6" builtinId="3"/>
    <cellStyle name="Milliers [0] 2" xfId="11" xr:uid="{00000000-0005-0000-0000-000003000000}"/>
    <cellStyle name="Milliers [0] 3" xfId="22" xr:uid="{00000000-0005-0000-0000-000004000000}"/>
    <cellStyle name="Milliers 10" xfId="33" xr:uid="{00000000-0005-0000-0000-000005000000}"/>
    <cellStyle name="Milliers 11" xfId="34" xr:uid="{00000000-0005-0000-0000-000006000000}"/>
    <cellStyle name="Milliers 12" xfId="35" xr:uid="{00000000-0005-0000-0000-000007000000}"/>
    <cellStyle name="Milliers 13" xfId="36" xr:uid="{00000000-0005-0000-0000-000008000000}"/>
    <cellStyle name="Milliers 2" xfId="4" xr:uid="{00000000-0005-0000-0000-000009000000}"/>
    <cellStyle name="Milliers 2 2" xfId="18" xr:uid="{00000000-0005-0000-0000-00000A000000}"/>
    <cellStyle name="Milliers 2 2 2" xfId="20" xr:uid="{00000000-0005-0000-0000-00000B000000}"/>
    <cellStyle name="Milliers 2 3" xfId="23" xr:uid="{00000000-0005-0000-0000-00000C000000}"/>
    <cellStyle name="Milliers 2 4" xfId="26" xr:uid="{00000000-0005-0000-0000-00000D000000}"/>
    <cellStyle name="Milliers 2 5" xfId="30" xr:uid="{00000000-0005-0000-0000-00000E000000}"/>
    <cellStyle name="Milliers 3" xfId="13" xr:uid="{00000000-0005-0000-0000-00000F000000}"/>
    <cellStyle name="Milliers 3 2" xfId="16" xr:uid="{00000000-0005-0000-0000-000010000000}"/>
    <cellStyle name="Milliers 3 2 2" xfId="38" xr:uid="{00000000-0005-0000-0000-000011000000}"/>
    <cellStyle name="Milliers 3 3" xfId="40" xr:uid="{00000000-0005-0000-0000-000012000000}"/>
    <cellStyle name="Milliers 4" xfId="15" xr:uid="{00000000-0005-0000-0000-000013000000}"/>
    <cellStyle name="Milliers 5" xfId="24" xr:uid="{00000000-0005-0000-0000-000014000000}"/>
    <cellStyle name="Milliers 5 2" xfId="42" xr:uid="{00000000-0005-0000-0000-000015000000}"/>
    <cellStyle name="Milliers 6" xfId="25" xr:uid="{00000000-0005-0000-0000-000016000000}"/>
    <cellStyle name="Milliers 7" xfId="31" xr:uid="{00000000-0005-0000-0000-000017000000}"/>
    <cellStyle name="Milliers 8" xfId="29" xr:uid="{00000000-0005-0000-0000-000018000000}"/>
    <cellStyle name="Milliers 9" xfId="32" xr:uid="{00000000-0005-0000-0000-000019000000}"/>
    <cellStyle name="Monétaire" xfId="1" builtinId="4"/>
    <cellStyle name="Monétaire 2" xfId="8" xr:uid="{00000000-0005-0000-0000-00001B000000}"/>
    <cellStyle name="Normal" xfId="0" builtinId="0"/>
    <cellStyle name="Normal 10" xfId="28" xr:uid="{00000000-0005-0000-0000-00001D000000}"/>
    <cellStyle name="Normal 2" xfId="3" xr:uid="{00000000-0005-0000-0000-00001E000000}"/>
    <cellStyle name="Normal 2 2" xfId="17" xr:uid="{00000000-0005-0000-0000-00001F000000}"/>
    <cellStyle name="Normal 2 3" xfId="9" xr:uid="{00000000-0005-0000-0000-000020000000}"/>
    <cellStyle name="Normal 3" xfId="7" xr:uid="{00000000-0005-0000-0000-000021000000}"/>
    <cellStyle name="Normal 3 2" xfId="21" xr:uid="{00000000-0005-0000-0000-000022000000}"/>
    <cellStyle name="Normal 3 3" xfId="10" xr:uid="{00000000-0005-0000-0000-000023000000}"/>
    <cellStyle name="Normal 4" xfId="12" xr:uid="{00000000-0005-0000-0000-000024000000}"/>
    <cellStyle name="Normal 4 2" xfId="37" xr:uid="{00000000-0005-0000-0000-000025000000}"/>
    <cellStyle name="Normal 5" xfId="41" xr:uid="{00000000-0005-0000-0000-000026000000}"/>
    <cellStyle name="Normal 7" xfId="39" xr:uid="{00000000-0005-0000-0000-000027000000}"/>
    <cellStyle name="Normal 8" xfId="27" xr:uid="{00000000-0005-0000-0000-000028000000}"/>
    <cellStyle name="Pourcentage" xfId="2" builtinId="5"/>
    <cellStyle name="Pourcentage 3" xfId="19" xr:uid="{00000000-0005-0000-0000-00002A000000}"/>
  </cellStyles>
  <dxfs count="8">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6699FF"/>
      <color rgb="FFFF9797"/>
      <color rgb="FFFFA7A7"/>
      <color rgb="FFFF9B9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PATRICIA/AppData/Roaming/Microsoft/Excel/3%20(version%201).xlsb"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PROJET%20OBS%20MADA%20-%20PNUD%20PBF%20-%20GYPI%202020\COMPTABILITE%20OBS-MADA\RAP%20FIN%20%20OBS%20MADA%20-%20Version%20bureau%20avec%20d&#233;tail%20-%20Avril%202022%20-%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ûts unitaires"/>
      <sheetName val="Répartition_Final"/>
      <sheetName val="1) RF par produit"/>
      <sheetName val="2) RP par categorie budgetaire"/>
      <sheetName val="5) Pour utilisation par MPTFO"/>
      <sheetName val="Dropdowns"/>
      <sheetName val="Sheet2"/>
    </sheetNames>
    <sheetDataSet>
      <sheetData sheetId="0"/>
      <sheetData sheetId="1"/>
      <sheetData sheetId="2">
        <row r="5">
          <cell r="D5" t="str">
            <v>PNUD
(budget en USD)</v>
          </cell>
          <cell r="E5" t="str">
            <v>MSIS-tatao
(budget en USD)</v>
          </cell>
        </row>
        <row r="17">
          <cell r="D17">
            <v>96500</v>
          </cell>
          <cell r="E17">
            <v>15000</v>
          </cell>
        </row>
        <row r="27">
          <cell r="D27">
            <v>242000</v>
          </cell>
          <cell r="E27">
            <v>13000</v>
          </cell>
        </row>
        <row r="59">
          <cell r="D59">
            <v>72000</v>
          </cell>
          <cell r="E59">
            <v>4000</v>
          </cell>
        </row>
        <row r="69">
          <cell r="D69">
            <v>13000</v>
          </cell>
          <cell r="E69">
            <v>147000</v>
          </cell>
        </row>
        <row r="101">
          <cell r="D101">
            <v>152500</v>
          </cell>
          <cell r="E101">
            <v>11000</v>
          </cell>
        </row>
        <row r="111">
          <cell r="D111">
            <v>255869.15887850453</v>
          </cell>
          <cell r="E111">
            <v>5000</v>
          </cell>
        </row>
        <row r="176">
          <cell r="D176">
            <v>30000</v>
          </cell>
          <cell r="E176">
            <v>45000</v>
          </cell>
        </row>
        <row r="180">
          <cell r="D180">
            <v>289626.16822429909</v>
          </cell>
          <cell r="E180">
            <v>85373.831775700906</v>
          </cell>
        </row>
        <row r="197">
          <cell r="D197">
            <v>780000</v>
          </cell>
          <cell r="E197">
            <v>195000</v>
          </cell>
          <cell r="G197">
            <v>975000</v>
          </cell>
          <cell r="H197">
            <v>0.65</v>
          </cell>
        </row>
        <row r="198">
          <cell r="D198">
            <v>420000</v>
          </cell>
          <cell r="E198">
            <v>105000</v>
          </cell>
          <cell r="G198">
            <v>525000</v>
          </cell>
          <cell r="H198">
            <v>0.35</v>
          </cell>
        </row>
        <row r="199">
          <cell r="D199">
            <v>0</v>
          </cell>
          <cell r="E199">
            <v>0</v>
          </cell>
          <cell r="G199">
            <v>0</v>
          </cell>
          <cell r="H199">
            <v>0</v>
          </cell>
        </row>
        <row r="200">
          <cell r="D200">
            <v>1200000</v>
          </cell>
          <cell r="E200">
            <v>300000</v>
          </cell>
          <cell r="G200">
            <v>1500000</v>
          </cell>
        </row>
      </sheetData>
      <sheetData sheetId="3">
        <row r="198">
          <cell r="D198">
            <v>30000</v>
          </cell>
          <cell r="E198">
            <v>45000</v>
          </cell>
        </row>
        <row r="199">
          <cell r="D199">
            <v>5453.6915887850455</v>
          </cell>
          <cell r="E199">
            <v>13828.691588785045</v>
          </cell>
        </row>
        <row r="200">
          <cell r="D200">
            <v>40860.093457943927</v>
          </cell>
          <cell r="E200">
            <v>33899.439252336437</v>
          </cell>
        </row>
        <row r="201">
          <cell r="D201">
            <v>279465.51401869161</v>
          </cell>
          <cell r="E201">
            <v>44866.074766355137</v>
          </cell>
        </row>
        <row r="202">
          <cell r="D202">
            <v>50547.429906542056</v>
          </cell>
          <cell r="E202">
            <v>19237.383177570089</v>
          </cell>
        </row>
        <row r="203">
          <cell r="D203">
            <v>659532.24299065408</v>
          </cell>
          <cell r="E203">
            <v>111720</v>
          </cell>
        </row>
        <row r="204">
          <cell r="D204">
            <v>55636.355140186919</v>
          </cell>
          <cell r="E204">
            <v>11822.2429906542</v>
          </cell>
        </row>
      </sheetData>
      <sheetData sheetId="4"/>
      <sheetData sheetId="5"/>
      <sheetData sheetId="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TA Initial OBS"/>
      <sheetName val="5) Pour utilisation par MPTFO"/>
      <sheetName val="Répartition_Final (2)"/>
      <sheetName val="SAFIDY - Detail_Final1"/>
      <sheetName val="RAPPORT FIN DETAILLE- MSIS1"/>
      <sheetName val="Budget detail-VERSION ANJARA"/>
      <sheetName val="RAPPORT FIN SUIV CANEVAS PBF "/>
      <sheetName val="Répartition_Final"/>
      <sheetName val="Feuil1"/>
      <sheetName val="CAISSE"/>
      <sheetName val="SUIVI budg OBS JANV21 à AVRIL22"/>
      <sheetName val="RAPPORT DEPENSES "/>
      <sheetName val="journal OBS MADA"/>
      <sheetName val="SUIVI COMPTE D'AVANCE ORGANISA "/>
      <sheetName val="REC FEV 2022 SAFIDY"/>
      <sheetName val="REC MARS 2022 SAFIDY"/>
      <sheetName val="SUIVI DES AVANCES OBS "/>
      <sheetName val="RAP Fin. SAFIDY 2021"/>
      <sheetName val="JOURNAL BANQUE SAFIDY"/>
      <sheetName val="brouillo,"/>
      <sheetName val="1) RF par produit"/>
      <sheetName val="Feuil2"/>
      <sheetName val="feuille categorie budgetaire"/>
      <sheetName val="2) RP par categorie budgetaire"/>
      <sheetName val="rapprochement mai 21 "/>
      <sheetName val="rapprochement juin 2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row r="17">
          <cell r="C17">
            <v>160.98738932116984</v>
          </cell>
          <cell r="D17">
            <v>1974.7786423396833</v>
          </cell>
          <cell r="E17">
            <v>5280.4867185403809</v>
          </cell>
          <cell r="F17">
            <v>1646.0450764690099</v>
          </cell>
          <cell r="G17">
            <v>0</v>
          </cell>
          <cell r="H17">
            <v>0</v>
          </cell>
        </row>
      </sheetData>
      <sheetData sheetId="23"/>
      <sheetData sheetId="24"/>
      <sheetData sheetId="25"/>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71"/>
  <sheetViews>
    <sheetView topLeftCell="A10" workbookViewId="0">
      <selection activeCell="C27" sqref="C27"/>
    </sheetView>
  </sheetViews>
  <sheetFormatPr baseColWidth="10" defaultColWidth="11.42578125" defaultRowHeight="15" x14ac:dyDescent="0.25"/>
  <cols>
    <col min="1" max="1" width="42.42578125" style="89" customWidth="1"/>
    <col min="2" max="2" width="12.42578125" style="90" bestFit="1" customWidth="1"/>
    <col min="3" max="16384" width="11.42578125" style="89"/>
  </cols>
  <sheetData>
    <row r="1" spans="1:7" ht="12.75" x14ac:dyDescent="0.2">
      <c r="A1" s="87" t="s">
        <v>461</v>
      </c>
      <c r="B1" s="88">
        <v>3800</v>
      </c>
    </row>
    <row r="2" spans="1:7" ht="12.75" x14ac:dyDescent="0.2">
      <c r="B2" s="89"/>
    </row>
    <row r="3" spans="1:7" x14ac:dyDescent="0.25">
      <c r="A3" s="89" t="s">
        <v>403</v>
      </c>
      <c r="B3" s="90">
        <f>10000/change</f>
        <v>2.6315789473684212</v>
      </c>
    </row>
    <row r="5" spans="1:7" ht="15.75" x14ac:dyDescent="0.25">
      <c r="A5" s="87" t="s">
        <v>462</v>
      </c>
      <c r="B5" s="88"/>
      <c r="G5" s="92">
        <f>SUM(G7:G38)</f>
        <v>0</v>
      </c>
    </row>
    <row r="6" spans="1:7" x14ac:dyDescent="0.25">
      <c r="A6" s="89" t="s">
        <v>463</v>
      </c>
      <c r="B6" s="90">
        <f>10000/change</f>
        <v>2.6315789473684212</v>
      </c>
    </row>
    <row r="7" spans="1:7" x14ac:dyDescent="0.25">
      <c r="A7" s="89" t="s">
        <v>464</v>
      </c>
      <c r="B7" s="90">
        <f>40000/change</f>
        <v>10.526315789473685</v>
      </c>
    </row>
    <row r="8" spans="1:7" x14ac:dyDescent="0.25">
      <c r="A8" s="89" t="s">
        <v>465</v>
      </c>
      <c r="B8" s="90">
        <f>15000/change</f>
        <v>3.9473684210526314</v>
      </c>
    </row>
    <row r="9" spans="1:7" x14ac:dyDescent="0.25">
      <c r="A9" s="89" t="s">
        <v>466</v>
      </c>
      <c r="B9" s="90">
        <f>300000/change</f>
        <v>78.94736842105263</v>
      </c>
    </row>
    <row r="10" spans="1:7" x14ac:dyDescent="0.25">
      <c r="A10" s="89" t="s">
        <v>467</v>
      </c>
      <c r="B10" s="90">
        <f>100000/change</f>
        <v>26.315789473684209</v>
      </c>
    </row>
    <row r="11" spans="1:7" x14ac:dyDescent="0.25">
      <c r="A11" s="89" t="s">
        <v>468</v>
      </c>
      <c r="B11" s="90">
        <f>1000000/change</f>
        <v>263.15789473684208</v>
      </c>
    </row>
    <row r="12" spans="1:7" x14ac:dyDescent="0.25">
      <c r="A12" s="89" t="s">
        <v>469</v>
      </c>
      <c r="B12" s="90">
        <f>4000000/change</f>
        <v>1052.6315789473683</v>
      </c>
    </row>
    <row r="14" spans="1:7" x14ac:dyDescent="0.25">
      <c r="A14" s="89" t="s">
        <v>470</v>
      </c>
      <c r="B14" s="90">
        <f>70000/change</f>
        <v>18.421052631578949</v>
      </c>
    </row>
    <row r="15" spans="1:7" x14ac:dyDescent="0.25">
      <c r="A15" s="89" t="s">
        <v>471</v>
      </c>
      <c r="B15" s="90">
        <f>2000000/change</f>
        <v>526.31578947368416</v>
      </c>
    </row>
    <row r="16" spans="1:7" x14ac:dyDescent="0.25">
      <c r="A16" s="89" t="s">
        <v>472</v>
      </c>
      <c r="B16" s="90">
        <f>40000/change</f>
        <v>10.526315789473685</v>
      </c>
    </row>
    <row r="17" spans="1:2" x14ac:dyDescent="0.25">
      <c r="A17" s="89" t="s">
        <v>473</v>
      </c>
      <c r="B17" s="90">
        <f>25000/change</f>
        <v>6.5789473684210522</v>
      </c>
    </row>
    <row r="18" spans="1:2" x14ac:dyDescent="0.25">
      <c r="A18" s="89" t="s">
        <v>474</v>
      </c>
      <c r="B18" s="90">
        <f>500/change</f>
        <v>0.13157894736842105</v>
      </c>
    </row>
    <row r="19" spans="1:2" x14ac:dyDescent="0.25">
      <c r="A19" s="89" t="s">
        <v>475</v>
      </c>
      <c r="B19" s="90">
        <f>50/change</f>
        <v>1.3157894736842105E-2</v>
      </c>
    </row>
    <row r="20" spans="1:2" x14ac:dyDescent="0.25">
      <c r="A20" s="89" t="s">
        <v>476</v>
      </c>
      <c r="B20" s="90">
        <f>1000/change</f>
        <v>0.26315789473684209</v>
      </c>
    </row>
    <row r="21" spans="1:2" x14ac:dyDescent="0.25">
      <c r="A21" s="89" t="s">
        <v>477</v>
      </c>
      <c r="B21" s="90">
        <f>600/change</f>
        <v>0.15789473684210525</v>
      </c>
    </row>
    <row r="23" spans="1:2" ht="12.75" x14ac:dyDescent="0.2">
      <c r="A23" s="87" t="s">
        <v>478</v>
      </c>
      <c r="B23" s="88"/>
    </row>
    <row r="24" spans="1:2" x14ac:dyDescent="0.25">
      <c r="A24" s="89" t="s">
        <v>479</v>
      </c>
      <c r="B24" s="90">
        <f>25000/change</f>
        <v>6.5789473684210522</v>
      </c>
    </row>
    <row r="25" spans="1:2" x14ac:dyDescent="0.25">
      <c r="A25" s="89" t="s">
        <v>418</v>
      </c>
      <c r="B25" s="90">
        <f>20000/change</f>
        <v>5.2631578947368425</v>
      </c>
    </row>
    <row r="27" spans="1:2" ht="12.75" x14ac:dyDescent="0.2">
      <c r="A27" s="87" t="s">
        <v>480</v>
      </c>
      <c r="B27" s="88"/>
    </row>
    <row r="28" spans="1:2" x14ac:dyDescent="0.25">
      <c r="A28" s="89" t="s">
        <v>399</v>
      </c>
      <c r="B28" s="90">
        <f>15000000/change</f>
        <v>3947.3684210526317</v>
      </c>
    </row>
    <row r="31" spans="1:2" ht="12.75" x14ac:dyDescent="0.2">
      <c r="A31" s="87" t="s">
        <v>481</v>
      </c>
      <c r="B31" s="87"/>
    </row>
    <row r="32" spans="1:2" x14ac:dyDescent="0.25">
      <c r="A32" s="89" t="s">
        <v>401</v>
      </c>
      <c r="B32" s="90">
        <f>20000/change</f>
        <v>5.2631578947368425</v>
      </c>
    </row>
    <row r="33" spans="1:2" x14ac:dyDescent="0.25">
      <c r="A33" s="89" t="s">
        <v>404</v>
      </c>
      <c r="B33" s="90">
        <f>100000/change</f>
        <v>26.315789473684209</v>
      </c>
    </row>
    <row r="34" spans="1:2" x14ac:dyDescent="0.25">
      <c r="A34" s="89" t="s">
        <v>405</v>
      </c>
      <c r="B34" s="90">
        <f>80000/change</f>
        <v>21.05263157894737</v>
      </c>
    </row>
    <row r="35" spans="1:2" x14ac:dyDescent="0.25">
      <c r="A35" s="89" t="s">
        <v>402</v>
      </c>
      <c r="B35" s="90">
        <f>100000/change</f>
        <v>26.315789473684209</v>
      </c>
    </row>
    <row r="38" spans="1:2" ht="12.75" x14ac:dyDescent="0.2">
      <c r="A38" s="87" t="s">
        <v>482</v>
      </c>
      <c r="B38" s="87"/>
    </row>
    <row r="39" spans="1:2" x14ac:dyDescent="0.25">
      <c r="A39" s="89" t="s">
        <v>401</v>
      </c>
      <c r="B39" s="90">
        <f>15000/change</f>
        <v>3.9473684210526314</v>
      </c>
    </row>
    <row r="40" spans="1:2" x14ac:dyDescent="0.25">
      <c r="A40" s="89" t="s">
        <v>404</v>
      </c>
      <c r="B40" s="90">
        <f>50000/change</f>
        <v>13.157894736842104</v>
      </c>
    </row>
    <row r="41" spans="1:2" x14ac:dyDescent="0.25">
      <c r="A41" s="89" t="s">
        <v>405</v>
      </c>
      <c r="B41" s="90">
        <f>60000/change</f>
        <v>15.789473684210526</v>
      </c>
    </row>
    <row r="42" spans="1:2" x14ac:dyDescent="0.25">
      <c r="A42" s="89" t="s">
        <v>402</v>
      </c>
      <c r="B42" s="90">
        <f>100000/change</f>
        <v>26.315789473684209</v>
      </c>
    </row>
    <row r="44" spans="1:2" ht="12.75" x14ac:dyDescent="0.2">
      <c r="A44" s="87" t="s">
        <v>492</v>
      </c>
      <c r="B44" s="87"/>
    </row>
    <row r="45" spans="1:2" x14ac:dyDescent="0.25">
      <c r="A45" s="89" t="s">
        <v>401</v>
      </c>
      <c r="B45" s="90">
        <f>15000/change</f>
        <v>3.9473684210526314</v>
      </c>
    </row>
    <row r="46" spans="1:2" x14ac:dyDescent="0.25">
      <c r="A46" s="89" t="s">
        <v>404</v>
      </c>
      <c r="B46" s="90">
        <f>30000/change</f>
        <v>7.8947368421052628</v>
      </c>
    </row>
    <row r="47" spans="1:2" x14ac:dyDescent="0.25">
      <c r="A47" s="89" t="s">
        <v>405</v>
      </c>
      <c r="B47" s="90">
        <f>40000/change</f>
        <v>10.526315789473685</v>
      </c>
    </row>
    <row r="48" spans="1:2" x14ac:dyDescent="0.25">
      <c r="A48" s="89" t="s">
        <v>402</v>
      </c>
      <c r="B48" s="90">
        <f>100000/change</f>
        <v>26.315789473684209</v>
      </c>
    </row>
    <row r="50" spans="1:2" ht="12.75" x14ac:dyDescent="0.2">
      <c r="A50" s="87" t="s">
        <v>478</v>
      </c>
      <c r="B50" s="87"/>
    </row>
    <row r="51" spans="1:2" x14ac:dyDescent="0.25">
      <c r="A51" s="89" t="s">
        <v>483</v>
      </c>
      <c r="B51" s="90">
        <f>10000/change</f>
        <v>2.6315789473684212</v>
      </c>
    </row>
    <row r="53" spans="1:2" ht="12.75" x14ac:dyDescent="0.2">
      <c r="A53" s="87" t="s">
        <v>484</v>
      </c>
      <c r="B53" s="87"/>
    </row>
    <row r="54" spans="1:2" x14ac:dyDescent="0.25">
      <c r="A54" s="89" t="s">
        <v>485</v>
      </c>
      <c r="B54" s="90">
        <f>80000/change</f>
        <v>21.05263157894737</v>
      </c>
    </row>
    <row r="55" spans="1:2" x14ac:dyDescent="0.25">
      <c r="A55" s="89" t="s">
        <v>486</v>
      </c>
      <c r="B55" s="90">
        <f>60000/change</f>
        <v>15.789473684210526</v>
      </c>
    </row>
    <row r="56" spans="1:2" x14ac:dyDescent="0.25">
      <c r="A56" s="89" t="s">
        <v>419</v>
      </c>
      <c r="B56" s="90">
        <f>100000/change</f>
        <v>26.315789473684209</v>
      </c>
    </row>
    <row r="57" spans="1:2" x14ac:dyDescent="0.25">
      <c r="A57" s="89" t="s">
        <v>421</v>
      </c>
      <c r="B57" s="90">
        <f>1200000/change</f>
        <v>315.78947368421052</v>
      </c>
    </row>
    <row r="58" spans="1:2" x14ac:dyDescent="0.25">
      <c r="A58" s="89" t="s">
        <v>422</v>
      </c>
      <c r="B58" s="90">
        <f>450000/change</f>
        <v>118.42105263157895</v>
      </c>
    </row>
    <row r="59" spans="1:2" x14ac:dyDescent="0.25">
      <c r="A59" s="89" t="s">
        <v>487</v>
      </c>
      <c r="B59" s="90">
        <f>50000/change</f>
        <v>13.157894736842104</v>
      </c>
    </row>
    <row r="60" spans="1:2" x14ac:dyDescent="0.25">
      <c r="A60" s="89" t="s">
        <v>488</v>
      </c>
      <c r="B60" s="90">
        <f>500/change</f>
        <v>0.13157894736842105</v>
      </c>
    </row>
    <row r="62" spans="1:2" ht="12.75" x14ac:dyDescent="0.2">
      <c r="A62" s="87" t="s">
        <v>489</v>
      </c>
      <c r="B62" s="87"/>
    </row>
    <row r="63" spans="1:2" x14ac:dyDescent="0.25">
      <c r="A63" s="89" t="s">
        <v>406</v>
      </c>
      <c r="B63" s="90">
        <f>1500000/change</f>
        <v>394.73684210526318</v>
      </c>
    </row>
    <row r="65" spans="1:2" ht="12.75" x14ac:dyDescent="0.2">
      <c r="A65" s="87" t="s">
        <v>490</v>
      </c>
      <c r="B65" s="87"/>
    </row>
    <row r="66" spans="1:2" x14ac:dyDescent="0.25">
      <c r="A66" s="89" t="s">
        <v>451</v>
      </c>
      <c r="B66" s="90">
        <v>16</v>
      </c>
    </row>
    <row r="71" spans="1:2" x14ac:dyDescent="0.25">
      <c r="A71" s="89" t="s">
        <v>491</v>
      </c>
      <c r="B71" s="91">
        <v>1.5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P188"/>
  <sheetViews>
    <sheetView zoomScale="112" zoomScaleNormal="112" workbookViewId="0">
      <pane xSplit="1" ySplit="2" topLeftCell="B18" activePane="bottomRight" state="frozen"/>
      <selection pane="topRight" activeCell="B1" sqref="B1"/>
      <selection pane="bottomLeft" activeCell="A4" sqref="A4"/>
      <selection pane="bottomRight" activeCell="F91" sqref="F91"/>
    </sheetView>
  </sheetViews>
  <sheetFormatPr baseColWidth="10" defaultColWidth="11.42578125" defaultRowHeight="12.75" x14ac:dyDescent="0.2"/>
  <cols>
    <col min="1" max="1" width="7.85546875" style="83" customWidth="1"/>
    <col min="2" max="2" width="55.28515625" style="83" customWidth="1"/>
    <col min="3" max="3" width="16.5703125" style="83" hidden="1" customWidth="1"/>
    <col min="4" max="4" width="26.28515625" style="83" customWidth="1"/>
    <col min="5" max="5" width="19.140625" style="83" customWidth="1"/>
    <col min="6" max="6" width="20" style="84" customWidth="1"/>
    <col min="7" max="7" width="15.140625" style="83" hidden="1" customWidth="1"/>
    <col min="8" max="8" width="27.42578125" style="83" hidden="1" customWidth="1"/>
    <col min="9" max="11" width="15.140625" style="83" hidden="1" customWidth="1"/>
    <col min="12" max="14" width="0" style="83" hidden="1" customWidth="1"/>
    <col min="15" max="15" width="16.85546875" style="83" hidden="1" customWidth="1"/>
    <col min="16" max="16" width="16.5703125" style="83" hidden="1" customWidth="1"/>
    <col min="17" max="17" width="0" style="83" hidden="1" customWidth="1"/>
    <col min="18" max="16384" width="11.42578125" style="83"/>
  </cols>
  <sheetData>
    <row r="1" spans="2:15" ht="13.5" thickBot="1" x14ac:dyDescent="0.25">
      <c r="B1" s="93"/>
    </row>
    <row r="2" spans="2:15" ht="15.75" x14ac:dyDescent="0.2">
      <c r="B2" s="108" t="s">
        <v>505</v>
      </c>
      <c r="C2" s="109" t="s">
        <v>506</v>
      </c>
      <c r="D2" s="109" t="s">
        <v>507</v>
      </c>
      <c r="E2" s="109" t="s">
        <v>508</v>
      </c>
      <c r="F2" s="110" t="s">
        <v>509</v>
      </c>
    </row>
    <row r="3" spans="2:15" s="96" customFormat="1" ht="18" x14ac:dyDescent="0.2">
      <c r="B3" s="137" t="s">
        <v>496</v>
      </c>
      <c r="C3" s="138"/>
      <c r="D3" s="139">
        <f>E3+F3</f>
        <v>366500</v>
      </c>
      <c r="E3" s="140">
        <f>SUM(E20,E4)</f>
        <v>338500</v>
      </c>
      <c r="F3" s="140">
        <f>SUM(F20,F4)</f>
        <v>28000</v>
      </c>
      <c r="J3" s="130">
        <f>D3-D3*$J$87</f>
        <v>366500</v>
      </c>
      <c r="K3" s="130">
        <v>314779.20560747659</v>
      </c>
    </row>
    <row r="4" spans="2:15" ht="36.75" customHeight="1" x14ac:dyDescent="0.25">
      <c r="B4" s="156" t="s">
        <v>522</v>
      </c>
      <c r="C4" s="151" t="e">
        <f>#REF!</f>
        <v>#REF!</v>
      </c>
      <c r="D4" s="157">
        <f>SUM(D5,D12,D17)</f>
        <v>111500</v>
      </c>
      <c r="E4" s="157">
        <f>SUM(E5,E12,E17)</f>
        <v>96500</v>
      </c>
      <c r="F4" s="158">
        <f>SUM(F5,F12,F17)</f>
        <v>15000</v>
      </c>
    </row>
    <row r="5" spans="2:15" ht="31.5" x14ac:dyDescent="0.2">
      <c r="B5" s="99" t="s">
        <v>397</v>
      </c>
      <c r="C5" s="112" t="e">
        <f>#REF!</f>
        <v>#REF!</v>
      </c>
      <c r="D5" s="134">
        <f>SUM(D6:D11)</f>
        <v>69500</v>
      </c>
      <c r="E5" s="134">
        <f>SUM(E6:E11)</f>
        <v>61500</v>
      </c>
      <c r="F5" s="159">
        <f>SUM(F6:F11)</f>
        <v>8000</v>
      </c>
      <c r="O5" s="181"/>
    </row>
    <row r="6" spans="2:15" ht="27.75" customHeight="1" x14ac:dyDescent="0.2">
      <c r="B6" s="101" t="s">
        <v>495</v>
      </c>
      <c r="C6" s="113" t="e">
        <f>#REF!</f>
        <v>#REF!</v>
      </c>
      <c r="D6" s="135">
        <f t="shared" ref="D6:D67" si="0">E6+F6</f>
        <v>14500</v>
      </c>
      <c r="E6" s="135">
        <v>12000</v>
      </c>
      <c r="F6" s="102">
        <f>1500+1000</f>
        <v>2500</v>
      </c>
      <c r="O6" s="181"/>
    </row>
    <row r="7" spans="2:15" ht="38.25" x14ac:dyDescent="0.2">
      <c r="B7" s="101" t="s">
        <v>398</v>
      </c>
      <c r="C7" s="113" t="e">
        <f>#REF!</f>
        <v>#REF!</v>
      </c>
      <c r="D7" s="135">
        <f t="shared" si="0"/>
        <v>3000</v>
      </c>
      <c r="E7" s="135">
        <v>500</v>
      </c>
      <c r="F7" s="102">
        <f>1500+1000</f>
        <v>2500</v>
      </c>
      <c r="O7" s="181"/>
    </row>
    <row r="8" spans="2:15" ht="24" customHeight="1" x14ac:dyDescent="0.2">
      <c r="B8" s="101" t="s">
        <v>400</v>
      </c>
      <c r="C8" s="113" t="e">
        <f>#REF!</f>
        <v>#REF!</v>
      </c>
      <c r="D8" s="135">
        <f t="shared" si="0"/>
        <v>6000</v>
      </c>
      <c r="E8" s="135">
        <v>3000</v>
      </c>
      <c r="F8" s="102">
        <f>2000+1000</f>
        <v>3000</v>
      </c>
      <c r="O8" s="181"/>
    </row>
    <row r="9" spans="2:15" ht="30" x14ac:dyDescent="0.25">
      <c r="B9" s="103" t="s">
        <v>493</v>
      </c>
      <c r="C9" s="113" t="e">
        <f>#REF!</f>
        <v>#REF!</v>
      </c>
      <c r="D9" s="135">
        <f t="shared" si="0"/>
        <v>16000</v>
      </c>
      <c r="E9" s="135">
        <v>16000</v>
      </c>
      <c r="F9" s="102"/>
      <c r="O9" s="181"/>
    </row>
    <row r="10" spans="2:15" x14ac:dyDescent="0.2">
      <c r="B10" s="101" t="s">
        <v>407</v>
      </c>
      <c r="C10" s="113" t="e">
        <f>#REF!</f>
        <v>#REF!</v>
      </c>
      <c r="D10" s="135">
        <f t="shared" si="0"/>
        <v>30000</v>
      </c>
      <c r="E10" s="135">
        <f>32000-2000</f>
        <v>30000</v>
      </c>
      <c r="F10" s="102"/>
      <c r="O10" s="181"/>
    </row>
    <row r="11" spans="2:15" x14ac:dyDescent="0.2">
      <c r="B11" s="104"/>
      <c r="C11" s="98"/>
      <c r="D11" s="135">
        <f t="shared" si="0"/>
        <v>0</v>
      </c>
      <c r="E11" s="98"/>
      <c r="F11" s="102"/>
      <c r="O11" s="181"/>
    </row>
    <row r="12" spans="2:15" ht="15.75" customHeight="1" x14ac:dyDescent="0.25">
      <c r="B12" s="105" t="s">
        <v>408</v>
      </c>
      <c r="C12" s="112" t="e">
        <f>#REF!</f>
        <v>#REF!</v>
      </c>
      <c r="D12" s="134">
        <f>SUM(D13:D16)</f>
        <v>28000</v>
      </c>
      <c r="E12" s="134">
        <f>SUM(E13:E16)</f>
        <v>22000</v>
      </c>
      <c r="F12" s="159">
        <f>SUM(F13:F16)</f>
        <v>6000</v>
      </c>
      <c r="O12" s="181"/>
    </row>
    <row r="13" spans="2:15" ht="51" x14ac:dyDescent="0.2">
      <c r="B13" s="104" t="s">
        <v>409</v>
      </c>
      <c r="C13" s="113" t="e">
        <f>#REF!</f>
        <v>#REF!</v>
      </c>
      <c r="D13" s="135">
        <f t="shared" si="0"/>
        <v>5000</v>
      </c>
      <c r="E13" s="135">
        <v>2000</v>
      </c>
      <c r="F13" s="102">
        <f>2000+1000</f>
        <v>3000</v>
      </c>
      <c r="O13" s="181"/>
    </row>
    <row r="14" spans="2:15" ht="25.5" x14ac:dyDescent="0.2">
      <c r="B14" s="104" t="s">
        <v>410</v>
      </c>
      <c r="C14" s="113" t="e">
        <f>#REF!</f>
        <v>#REF!</v>
      </c>
      <c r="D14" s="135">
        <f t="shared" si="0"/>
        <v>7500</v>
      </c>
      <c r="E14" s="135">
        <v>6500</v>
      </c>
      <c r="F14" s="102">
        <v>1000</v>
      </c>
      <c r="O14" s="181"/>
    </row>
    <row r="15" spans="2:15" ht="38.25" x14ac:dyDescent="0.2">
      <c r="B15" s="104" t="s">
        <v>411</v>
      </c>
      <c r="C15" s="113" t="e">
        <f>#REF!</f>
        <v>#REF!</v>
      </c>
      <c r="D15" s="135">
        <f t="shared" si="0"/>
        <v>15500</v>
      </c>
      <c r="E15" s="135">
        <v>13500</v>
      </c>
      <c r="F15" s="102">
        <v>2000</v>
      </c>
      <c r="O15" s="181"/>
    </row>
    <row r="16" spans="2:15" x14ac:dyDescent="0.2">
      <c r="B16" s="104"/>
      <c r="C16" s="98"/>
      <c r="D16" s="135">
        <f t="shared" si="0"/>
        <v>0</v>
      </c>
      <c r="E16" s="98"/>
      <c r="F16" s="102"/>
      <c r="O16" s="181"/>
    </row>
    <row r="17" spans="2:15" ht="48.75" customHeight="1" x14ac:dyDescent="0.25">
      <c r="B17" s="115" t="s">
        <v>412</v>
      </c>
      <c r="C17" s="112" t="e">
        <f>#REF!</f>
        <v>#REF!</v>
      </c>
      <c r="D17" s="134">
        <f>SUM(D18:D19)</f>
        <v>14000</v>
      </c>
      <c r="E17" s="134">
        <f>SUM(E18:E19)</f>
        <v>13000</v>
      </c>
      <c r="F17" s="159">
        <f>SUM(F18:F19)</f>
        <v>1000</v>
      </c>
      <c r="O17" s="181"/>
    </row>
    <row r="18" spans="2:15" ht="25.5" x14ac:dyDescent="0.2">
      <c r="B18" s="104" t="s">
        <v>494</v>
      </c>
      <c r="C18" s="113" t="e">
        <f>#REF!</f>
        <v>#REF!</v>
      </c>
      <c r="D18" s="135">
        <f t="shared" si="0"/>
        <v>10000</v>
      </c>
      <c r="E18" s="135">
        <v>9000</v>
      </c>
      <c r="F18" s="102">
        <f>1000</f>
        <v>1000</v>
      </c>
      <c r="O18" s="181"/>
    </row>
    <row r="19" spans="2:15" ht="38.25" x14ac:dyDescent="0.2">
      <c r="B19" s="128" t="s">
        <v>413</v>
      </c>
      <c r="C19" s="113" t="e">
        <f>#REF!</f>
        <v>#REF!</v>
      </c>
      <c r="D19" s="135">
        <f t="shared" si="0"/>
        <v>4000</v>
      </c>
      <c r="E19" s="135">
        <v>4000</v>
      </c>
      <c r="F19" s="102"/>
      <c r="O19" s="181"/>
    </row>
    <row r="20" spans="2:15" ht="32.25" customHeight="1" x14ac:dyDescent="0.25">
      <c r="B20" s="156" t="s">
        <v>510</v>
      </c>
      <c r="C20" s="151" t="e">
        <f>#REF!</f>
        <v>#REF!</v>
      </c>
      <c r="D20" s="157">
        <f>SUM(D21,D26)</f>
        <v>255000</v>
      </c>
      <c r="E20" s="157">
        <f>SUM(E21,E26,E30)</f>
        <v>242000</v>
      </c>
      <c r="F20" s="157">
        <f>SUM(F21,F26,F30)</f>
        <v>13000</v>
      </c>
    </row>
    <row r="21" spans="2:15" ht="31.5" x14ac:dyDescent="0.25">
      <c r="B21" s="105" t="s">
        <v>414</v>
      </c>
      <c r="C21" s="112" t="e">
        <f>#REF!</f>
        <v>#REF!</v>
      </c>
      <c r="D21" s="134">
        <f>SUM(D22:D24)</f>
        <v>61000</v>
      </c>
      <c r="E21" s="134">
        <f>SUM(E22:E24)</f>
        <v>57000</v>
      </c>
      <c r="F21" s="159">
        <f>SUM(F22:F24)</f>
        <v>4000</v>
      </c>
      <c r="O21" s="85"/>
    </row>
    <row r="22" spans="2:15" ht="38.25" x14ac:dyDescent="0.2">
      <c r="B22" s="104" t="s">
        <v>415</v>
      </c>
      <c r="C22" s="113" t="e">
        <f>#REF!</f>
        <v>#REF!</v>
      </c>
      <c r="D22" s="135">
        <f t="shared" si="0"/>
        <v>1000</v>
      </c>
      <c r="E22" s="135">
        <v>1000</v>
      </c>
      <c r="F22" s="102"/>
      <c r="O22" s="195"/>
    </row>
    <row r="23" spans="2:15" ht="38.25" x14ac:dyDescent="0.2">
      <c r="B23" s="104" t="s">
        <v>416</v>
      </c>
      <c r="C23" s="113" t="e">
        <f>#REF!</f>
        <v>#REF!</v>
      </c>
      <c r="D23" s="135">
        <f t="shared" si="0"/>
        <v>3000</v>
      </c>
      <c r="E23" s="135">
        <v>1000</v>
      </c>
      <c r="F23" s="102">
        <v>2000</v>
      </c>
      <c r="O23" s="85"/>
    </row>
    <row r="24" spans="2:15" ht="25.5" x14ac:dyDescent="0.2">
      <c r="B24" s="104" t="s">
        <v>417</v>
      </c>
      <c r="C24" s="113" t="e">
        <f>#REF!</f>
        <v>#REF!</v>
      </c>
      <c r="D24" s="135">
        <f t="shared" si="0"/>
        <v>57000</v>
      </c>
      <c r="E24" s="135">
        <f>58000-3000</f>
        <v>55000</v>
      </c>
      <c r="F24" s="102">
        <v>2000</v>
      </c>
      <c r="O24" s="85"/>
    </row>
    <row r="25" spans="2:15" x14ac:dyDescent="0.2">
      <c r="B25" s="106"/>
      <c r="C25" s="98"/>
      <c r="D25" s="135"/>
      <c r="E25" s="135"/>
      <c r="F25" s="102"/>
      <c r="O25" s="85"/>
    </row>
    <row r="26" spans="2:15" ht="84.75" customHeight="1" x14ac:dyDescent="0.25">
      <c r="B26" s="105" t="s">
        <v>420</v>
      </c>
      <c r="C26" s="112" t="e">
        <f>#REF!</f>
        <v>#REF!</v>
      </c>
      <c r="D26" s="134">
        <f>SUM(D27:D30)</f>
        <v>194000</v>
      </c>
      <c r="E26" s="134">
        <f>SUM(E27:E29)</f>
        <v>165000</v>
      </c>
      <c r="F26" s="134">
        <f>SUM(F27:F29)</f>
        <v>8000</v>
      </c>
      <c r="O26" s="85"/>
    </row>
    <row r="27" spans="2:15" ht="76.5" x14ac:dyDescent="0.2">
      <c r="B27" s="104" t="s">
        <v>511</v>
      </c>
      <c r="C27" s="113" t="e">
        <f>#REF!</f>
        <v>#REF!</v>
      </c>
      <c r="D27" s="135">
        <f t="shared" si="0"/>
        <v>12000</v>
      </c>
      <c r="E27" s="135">
        <v>10000</v>
      </c>
      <c r="F27" s="102">
        <v>2000</v>
      </c>
      <c r="O27" s="85"/>
    </row>
    <row r="28" spans="2:15" ht="25.5" x14ac:dyDescent="0.2">
      <c r="B28" s="104" t="s">
        <v>512</v>
      </c>
      <c r="C28" s="113" t="e">
        <f>#REF!</f>
        <v>#REF!</v>
      </c>
      <c r="D28" s="135">
        <f t="shared" si="0"/>
        <v>105000</v>
      </c>
      <c r="E28" s="135">
        <f>105000-5000</f>
        <v>100000</v>
      </c>
      <c r="F28" s="102">
        <v>5000</v>
      </c>
      <c r="O28" s="85"/>
    </row>
    <row r="29" spans="2:15" ht="51" x14ac:dyDescent="0.2">
      <c r="B29" s="104" t="s">
        <v>513</v>
      </c>
      <c r="C29" s="113" t="e">
        <f>#REF!</f>
        <v>#REF!</v>
      </c>
      <c r="D29" s="135">
        <f t="shared" si="0"/>
        <v>56000</v>
      </c>
      <c r="E29" s="135">
        <v>55000</v>
      </c>
      <c r="F29" s="102">
        <v>1000</v>
      </c>
      <c r="O29" s="85"/>
    </row>
    <row r="30" spans="2:15" ht="47.25" x14ac:dyDescent="0.25">
      <c r="B30" s="105" t="s">
        <v>547</v>
      </c>
      <c r="C30" s="98"/>
      <c r="D30" s="134">
        <f t="shared" si="0"/>
        <v>21000</v>
      </c>
      <c r="E30" s="134">
        <v>20000</v>
      </c>
      <c r="F30" s="134">
        <v>1000</v>
      </c>
    </row>
    <row r="31" spans="2:15" s="96" customFormat="1" ht="18" x14ac:dyDescent="0.2">
      <c r="B31" s="137" t="s">
        <v>497</v>
      </c>
      <c r="C31" s="138"/>
      <c r="D31" s="140">
        <f>D32+D43</f>
        <v>236000</v>
      </c>
      <c r="E31" s="140">
        <f>E32+E43</f>
        <v>85000</v>
      </c>
      <c r="F31" s="160">
        <f>F32+F43</f>
        <v>151000</v>
      </c>
      <c r="J31" s="130">
        <f>D31-D31*$J$87</f>
        <v>236000</v>
      </c>
      <c r="K31" s="130">
        <v>224842.28971962613</v>
      </c>
    </row>
    <row r="32" spans="2:15" ht="37.5" x14ac:dyDescent="0.25">
      <c r="B32" s="150" t="s">
        <v>423</v>
      </c>
      <c r="C32" s="155" t="e">
        <f>#REF!</f>
        <v>#REF!</v>
      </c>
      <c r="D32" s="153">
        <f>SUM(D33,D38)</f>
        <v>76000</v>
      </c>
      <c r="E32" s="153">
        <f>SUM(E33,E38)</f>
        <v>72000</v>
      </c>
      <c r="F32" s="161">
        <f>SUM(F33,F38)</f>
        <v>4000</v>
      </c>
      <c r="O32" s="182"/>
    </row>
    <row r="33" spans="2:16" ht="47.25" x14ac:dyDescent="0.25">
      <c r="B33" s="105" t="s">
        <v>425</v>
      </c>
      <c r="C33" s="112" t="e">
        <f>#REF!</f>
        <v>#REF!</v>
      </c>
      <c r="D33" s="134">
        <f>SUM(D34:D37)</f>
        <v>39000</v>
      </c>
      <c r="E33" s="134">
        <f>SUM(E34:E37)</f>
        <v>38000</v>
      </c>
      <c r="F33" s="100">
        <f>SUM(F34:F37)</f>
        <v>1000</v>
      </c>
      <c r="O33" s="182"/>
    </row>
    <row r="34" spans="2:16" ht="42.75" customHeight="1" x14ac:dyDescent="0.2">
      <c r="B34" s="104" t="s">
        <v>426</v>
      </c>
      <c r="C34" s="113" t="e">
        <f>#REF!</f>
        <v>#REF!</v>
      </c>
      <c r="D34" s="135">
        <f t="shared" si="0"/>
        <v>2000</v>
      </c>
      <c r="E34" s="135">
        <v>1000</v>
      </c>
      <c r="F34" s="102">
        <f>1000</f>
        <v>1000</v>
      </c>
      <c r="O34" s="182"/>
    </row>
    <row r="35" spans="2:16" ht="36.75" customHeight="1" x14ac:dyDescent="0.2">
      <c r="B35" s="104" t="s">
        <v>427</v>
      </c>
      <c r="C35" s="113" t="e">
        <f>#REF!</f>
        <v>#REF!</v>
      </c>
      <c r="D35" s="135">
        <f t="shared" si="0"/>
        <v>25000</v>
      </c>
      <c r="E35" s="135">
        <v>25000</v>
      </c>
      <c r="F35" s="102"/>
      <c r="O35" s="86"/>
    </row>
    <row r="36" spans="2:16" ht="27" customHeight="1" x14ac:dyDescent="0.2">
      <c r="B36" s="104" t="s">
        <v>428</v>
      </c>
      <c r="C36" s="113" t="e">
        <f>#REF!</f>
        <v>#REF!</v>
      </c>
      <c r="D36" s="135">
        <f t="shared" si="0"/>
        <v>12000</v>
      </c>
      <c r="E36" s="135">
        <v>12000</v>
      </c>
      <c r="F36" s="102"/>
      <c r="O36" s="182"/>
    </row>
    <row r="37" spans="2:16" ht="15.75" customHeight="1" x14ac:dyDescent="0.2">
      <c r="B37" s="107"/>
      <c r="C37" s="98"/>
      <c r="D37" s="135">
        <f t="shared" si="0"/>
        <v>0</v>
      </c>
      <c r="E37" s="98"/>
      <c r="F37" s="102"/>
      <c r="O37" s="182"/>
    </row>
    <row r="38" spans="2:16" ht="31.5" x14ac:dyDescent="0.25">
      <c r="B38" s="105" t="s">
        <v>429</v>
      </c>
      <c r="C38" s="112" t="e">
        <f>#REF!</f>
        <v>#REF!</v>
      </c>
      <c r="D38" s="134">
        <f>SUM(D39:D42)</f>
        <v>37000</v>
      </c>
      <c r="E38" s="134">
        <f>SUM(E39:E42)</f>
        <v>34000</v>
      </c>
      <c r="F38" s="100">
        <f>SUM(F39:F42)</f>
        <v>3000</v>
      </c>
      <c r="O38" s="182"/>
    </row>
    <row r="39" spans="2:16" ht="28.5" customHeight="1" x14ac:dyDescent="0.2">
      <c r="B39" s="104" t="s">
        <v>430</v>
      </c>
      <c r="C39" s="113" t="e">
        <f>#REF!</f>
        <v>#REF!</v>
      </c>
      <c r="D39" s="135">
        <f t="shared" si="0"/>
        <v>4000</v>
      </c>
      <c r="E39" s="135">
        <v>1000</v>
      </c>
      <c r="F39" s="102">
        <f>2000+1000</f>
        <v>3000</v>
      </c>
      <c r="O39" s="182"/>
    </row>
    <row r="40" spans="2:16" ht="25.5" x14ac:dyDescent="0.2">
      <c r="B40" s="104" t="s">
        <v>431</v>
      </c>
      <c r="C40" s="113" t="e">
        <f>#REF!</f>
        <v>#REF!</v>
      </c>
      <c r="D40" s="135">
        <f t="shared" si="0"/>
        <v>3000</v>
      </c>
      <c r="E40" s="135">
        <v>3000</v>
      </c>
      <c r="F40" s="102"/>
      <c r="O40" s="182"/>
    </row>
    <row r="41" spans="2:16" ht="38.25" x14ac:dyDescent="0.2">
      <c r="B41" s="104" t="s">
        <v>432</v>
      </c>
      <c r="C41" s="113" t="e">
        <f>#REF!</f>
        <v>#REF!</v>
      </c>
      <c r="D41" s="135">
        <f t="shared" si="0"/>
        <v>30000</v>
      </c>
      <c r="E41" s="135">
        <f>35000-5000</f>
        <v>30000</v>
      </c>
      <c r="F41" s="102"/>
      <c r="O41" s="182"/>
    </row>
    <row r="42" spans="2:16" x14ac:dyDescent="0.2">
      <c r="B42" s="107"/>
      <c r="C42" s="98"/>
      <c r="D42" s="135">
        <f t="shared" si="0"/>
        <v>0</v>
      </c>
      <c r="E42" s="98"/>
      <c r="F42" s="102"/>
      <c r="O42" s="182"/>
    </row>
    <row r="43" spans="2:16" ht="37.5" x14ac:dyDescent="0.25">
      <c r="B43" s="150" t="s">
        <v>433</v>
      </c>
      <c r="C43" s="151" t="e">
        <f>#REF!</f>
        <v>#REF!</v>
      </c>
      <c r="D43" s="154">
        <f>SUM(D44,D50,D54,D57)</f>
        <v>160000</v>
      </c>
      <c r="E43" s="154">
        <f>SUM(E44,E50,E54,E57)</f>
        <v>13000</v>
      </c>
      <c r="F43" s="154">
        <f>SUM(F44,F50,F54,F57)</f>
        <v>147000</v>
      </c>
      <c r="O43" s="196"/>
      <c r="P43" s="180"/>
    </row>
    <row r="44" spans="2:16" ht="31.5" x14ac:dyDescent="0.25">
      <c r="B44" s="105" t="s">
        <v>434</v>
      </c>
      <c r="C44" s="112" t="e">
        <f>#REF!</f>
        <v>#REF!</v>
      </c>
      <c r="D44" s="133">
        <f>SUM(D45:D49)</f>
        <v>18000</v>
      </c>
      <c r="E44" s="133">
        <f>SUM(E45:E49)</f>
        <v>13000</v>
      </c>
      <c r="F44" s="133">
        <f>SUM(F45:F49)</f>
        <v>5000</v>
      </c>
      <c r="O44" s="196"/>
      <c r="P44" s="180"/>
    </row>
    <row r="45" spans="2:16" ht="25.5" x14ac:dyDescent="0.2">
      <c r="B45" s="104" t="s">
        <v>435</v>
      </c>
      <c r="C45" s="113" t="e">
        <f>#REF!</f>
        <v>#REF!</v>
      </c>
      <c r="D45" s="135">
        <f t="shared" si="0"/>
        <v>4500</v>
      </c>
      <c r="E45" s="135">
        <v>1500</v>
      </c>
      <c r="F45" s="102">
        <f>2000+1000</f>
        <v>3000</v>
      </c>
      <c r="O45" s="196"/>
      <c r="P45" s="180"/>
    </row>
    <row r="46" spans="2:16" ht="38.25" x14ac:dyDescent="0.2">
      <c r="B46" s="104" t="s">
        <v>436</v>
      </c>
      <c r="C46" s="113" t="e">
        <f>#REF!</f>
        <v>#REF!</v>
      </c>
      <c r="D46" s="135">
        <f t="shared" si="0"/>
        <v>5000</v>
      </c>
      <c r="E46" s="135">
        <v>5000</v>
      </c>
      <c r="F46" s="102"/>
      <c r="O46" s="196"/>
      <c r="P46" s="180"/>
    </row>
    <row r="47" spans="2:16" ht="25.5" x14ac:dyDescent="0.2">
      <c r="B47" s="104" t="s">
        <v>437</v>
      </c>
      <c r="C47" s="113" t="e">
        <f>#REF!</f>
        <v>#REF!</v>
      </c>
      <c r="D47" s="135">
        <f t="shared" si="0"/>
        <v>3500</v>
      </c>
      <c r="E47" s="135">
        <v>1500</v>
      </c>
      <c r="F47" s="102">
        <v>2000</v>
      </c>
      <c r="O47" s="196"/>
      <c r="P47" s="180"/>
    </row>
    <row r="48" spans="2:16" ht="25.5" x14ac:dyDescent="0.2">
      <c r="B48" s="104" t="s">
        <v>438</v>
      </c>
      <c r="C48" s="113" t="e">
        <f>#REF!</f>
        <v>#REF!</v>
      </c>
      <c r="D48" s="135">
        <f t="shared" si="0"/>
        <v>5000</v>
      </c>
      <c r="E48" s="135">
        <v>5000</v>
      </c>
      <c r="F48" s="102"/>
      <c r="O48" s="196"/>
      <c r="P48" s="180"/>
    </row>
    <row r="49" spans="2:16" x14ac:dyDescent="0.2">
      <c r="B49" s="107"/>
      <c r="C49" s="98"/>
      <c r="D49" s="135">
        <f t="shared" si="0"/>
        <v>0</v>
      </c>
      <c r="E49" s="98"/>
      <c r="F49" s="102"/>
      <c r="O49" s="196"/>
      <c r="P49" s="180"/>
    </row>
    <row r="50" spans="2:16" ht="31.5" x14ac:dyDescent="0.25">
      <c r="B50" s="105" t="s">
        <v>439</v>
      </c>
      <c r="C50" s="112" t="e">
        <f>#REF!</f>
        <v>#REF!</v>
      </c>
      <c r="D50" s="97">
        <f>SUM(D51:D53)</f>
        <v>44000</v>
      </c>
      <c r="E50" s="97">
        <f>SUM(E51:E53)</f>
        <v>0</v>
      </c>
      <c r="F50" s="162">
        <f>SUM(F51:F53)</f>
        <v>44000</v>
      </c>
      <c r="O50" s="196"/>
      <c r="P50" s="180"/>
    </row>
    <row r="51" spans="2:16" ht="63.75" x14ac:dyDescent="0.2">
      <c r="B51" s="104" t="s">
        <v>514</v>
      </c>
      <c r="C51" s="113" t="e">
        <f>#REF!</f>
        <v>#REF!</v>
      </c>
      <c r="D51" s="98">
        <f t="shared" si="0"/>
        <v>1500</v>
      </c>
      <c r="E51" s="98"/>
      <c r="F51" s="102">
        <f>500+1000</f>
        <v>1500</v>
      </c>
      <c r="O51" s="196"/>
      <c r="P51" s="180"/>
    </row>
    <row r="52" spans="2:16" ht="25.5" x14ac:dyDescent="0.2">
      <c r="B52" s="104" t="s">
        <v>498</v>
      </c>
      <c r="C52" s="113" t="e">
        <f>#REF!</f>
        <v>#REF!</v>
      </c>
      <c r="D52" s="98">
        <f t="shared" si="0"/>
        <v>42500</v>
      </c>
      <c r="E52" s="98"/>
      <c r="F52" s="102">
        <v>42500</v>
      </c>
      <c r="O52" s="196"/>
      <c r="P52" s="180"/>
    </row>
    <row r="53" spans="2:16" x14ac:dyDescent="0.2">
      <c r="B53" s="107"/>
      <c r="C53" s="98"/>
      <c r="D53" s="98">
        <f t="shared" si="0"/>
        <v>0</v>
      </c>
      <c r="E53" s="98"/>
      <c r="F53" s="102"/>
      <c r="O53" s="196"/>
      <c r="P53" s="180"/>
    </row>
    <row r="54" spans="2:16" ht="31.5" x14ac:dyDescent="0.25">
      <c r="B54" s="105" t="s">
        <v>440</v>
      </c>
      <c r="C54" s="112" t="e">
        <f>#REF!</f>
        <v>#REF!</v>
      </c>
      <c r="D54" s="100">
        <f>SUM(D55:D56)</f>
        <v>88000</v>
      </c>
      <c r="E54" s="100">
        <f>SUM(E55:E57)</f>
        <v>0</v>
      </c>
      <c r="F54" s="100">
        <f>SUM(F55:F56)</f>
        <v>88000</v>
      </c>
      <c r="O54" s="196"/>
      <c r="P54" s="180"/>
    </row>
    <row r="55" spans="2:16" ht="38.25" x14ac:dyDescent="0.2">
      <c r="B55" s="104" t="s">
        <v>441</v>
      </c>
      <c r="C55" s="113" t="e">
        <f>#REF!</f>
        <v>#REF!</v>
      </c>
      <c r="D55" s="102">
        <f t="shared" si="0"/>
        <v>75000</v>
      </c>
      <c r="E55" s="98"/>
      <c r="F55" s="102">
        <v>75000</v>
      </c>
      <c r="O55" s="196"/>
      <c r="P55" s="180"/>
    </row>
    <row r="56" spans="2:16" ht="39.75" customHeight="1" x14ac:dyDescent="0.2">
      <c r="B56" s="104" t="s">
        <v>518</v>
      </c>
      <c r="C56" s="113" t="e">
        <f>#REF!</f>
        <v>#REF!</v>
      </c>
      <c r="D56" s="102">
        <f t="shared" si="0"/>
        <v>13000</v>
      </c>
      <c r="E56" s="98"/>
      <c r="F56" s="102">
        <v>13000</v>
      </c>
      <c r="O56" s="196"/>
      <c r="P56" s="180"/>
    </row>
    <row r="57" spans="2:16" ht="63" x14ac:dyDescent="0.25">
      <c r="B57" s="105" t="s">
        <v>549</v>
      </c>
      <c r="C57" s="98"/>
      <c r="D57" s="100">
        <f>F57+E57</f>
        <v>10000</v>
      </c>
      <c r="E57" s="100"/>
      <c r="F57" s="100">
        <v>10000</v>
      </c>
    </row>
    <row r="58" spans="2:16" s="96" customFormat="1" ht="18.75" thickBot="1" x14ac:dyDescent="0.25">
      <c r="B58" s="184" t="s">
        <v>499</v>
      </c>
      <c r="C58" s="185"/>
      <c r="D58" s="186">
        <f>D59+D78</f>
        <v>424369.15887850453</v>
      </c>
      <c r="E58" s="186">
        <f>E59+E78</f>
        <v>408369.15887850453</v>
      </c>
      <c r="F58" s="186">
        <f>F59+F78</f>
        <v>16000</v>
      </c>
      <c r="J58" s="130">
        <f>D58-D58*$J$87</f>
        <v>424369.15887850453</v>
      </c>
      <c r="K58" s="130">
        <v>359747.66355140181</v>
      </c>
      <c r="P58" s="194"/>
    </row>
    <row r="59" spans="2:16" ht="23.25" customHeight="1" x14ac:dyDescent="0.25">
      <c r="B59" s="187" t="s">
        <v>442</v>
      </c>
      <c r="C59" s="188" t="e">
        <f>#REF!</f>
        <v>#REF!</v>
      </c>
      <c r="D59" s="189">
        <f>SUM(D60,D65,D69,D73,D72)</f>
        <v>163500</v>
      </c>
      <c r="E59" s="189">
        <f>SUM(E60,E65,E69,E73,E72)</f>
        <v>152500</v>
      </c>
      <c r="F59" s="189">
        <f>SUM(F60,F65,F69,F73,F72)</f>
        <v>11000</v>
      </c>
      <c r="P59" s="183"/>
    </row>
    <row r="60" spans="2:16" ht="33" customHeight="1" x14ac:dyDescent="0.25">
      <c r="B60" s="105" t="s">
        <v>443</v>
      </c>
      <c r="C60" s="112" t="e">
        <f>#REF!</f>
        <v>#REF!</v>
      </c>
      <c r="D60" s="133">
        <f>SUM(D61:D64)</f>
        <v>33000</v>
      </c>
      <c r="E60" s="133">
        <f>SUM(E61:E64)</f>
        <v>30000</v>
      </c>
      <c r="F60" s="163">
        <f>SUM(F61:F64)</f>
        <v>3000</v>
      </c>
      <c r="P60" s="183"/>
    </row>
    <row r="61" spans="2:16" ht="25.5" x14ac:dyDescent="0.2">
      <c r="B61" s="104" t="s">
        <v>444</v>
      </c>
      <c r="C61" s="113" t="e">
        <f>#REF!</f>
        <v>#REF!</v>
      </c>
      <c r="D61" s="144">
        <f t="shared" si="0"/>
        <v>7000</v>
      </c>
      <c r="E61" s="114">
        <v>5000</v>
      </c>
      <c r="F61" s="102">
        <f>1000+1000</f>
        <v>2000</v>
      </c>
      <c r="P61" s="183"/>
    </row>
    <row r="62" spans="2:16" ht="25.5" x14ac:dyDescent="0.2">
      <c r="B62" s="104" t="s">
        <v>445</v>
      </c>
      <c r="C62" s="113" t="e">
        <f>#REF!</f>
        <v>#REF!</v>
      </c>
      <c r="D62" s="144">
        <f t="shared" si="0"/>
        <v>1500</v>
      </c>
      <c r="E62" s="114">
        <v>500</v>
      </c>
      <c r="F62" s="102">
        <v>1000</v>
      </c>
      <c r="P62" s="183"/>
    </row>
    <row r="63" spans="2:16" ht="25.5" x14ac:dyDescent="0.2">
      <c r="B63" s="104" t="s">
        <v>446</v>
      </c>
      <c r="C63" s="113" t="e">
        <f>#REF!</f>
        <v>#REF!</v>
      </c>
      <c r="D63" s="144">
        <f t="shared" si="0"/>
        <v>24500</v>
      </c>
      <c r="E63" s="114">
        <v>24500</v>
      </c>
      <c r="F63" s="102"/>
      <c r="P63" s="183"/>
    </row>
    <row r="64" spans="2:16" x14ac:dyDescent="0.2">
      <c r="B64" s="107"/>
      <c r="C64" s="98"/>
      <c r="D64" s="98">
        <f t="shared" si="0"/>
        <v>0</v>
      </c>
      <c r="E64" s="98"/>
      <c r="F64" s="102"/>
      <c r="P64" s="183"/>
    </row>
    <row r="65" spans="2:16" ht="47.25" x14ac:dyDescent="0.25">
      <c r="B65" s="105" t="s">
        <v>447</v>
      </c>
      <c r="C65" s="112" t="e">
        <f>#REF!</f>
        <v>#REF!</v>
      </c>
      <c r="D65" s="133">
        <f>SUM(D66:D67)</f>
        <v>37000</v>
      </c>
      <c r="E65" s="133">
        <f>SUM(E66:E67)</f>
        <v>35500</v>
      </c>
      <c r="F65" s="163">
        <f>SUM(F66:F67)</f>
        <v>1500</v>
      </c>
      <c r="P65" s="183"/>
    </row>
    <row r="66" spans="2:16" ht="38.25" x14ac:dyDescent="0.2">
      <c r="B66" s="104" t="s">
        <v>448</v>
      </c>
      <c r="C66" s="113" t="e">
        <f>#REF!</f>
        <v>#REF!</v>
      </c>
      <c r="D66" s="144">
        <f>E66+F66</f>
        <v>15500</v>
      </c>
      <c r="E66" s="144">
        <v>15500</v>
      </c>
      <c r="F66" s="102"/>
      <c r="P66" s="183"/>
    </row>
    <row r="67" spans="2:16" ht="25.5" x14ac:dyDescent="0.2">
      <c r="B67" s="104" t="s">
        <v>449</v>
      </c>
      <c r="C67" s="113" t="e">
        <f>#REF!</f>
        <v>#REF!</v>
      </c>
      <c r="D67" s="144">
        <f t="shared" si="0"/>
        <v>21500</v>
      </c>
      <c r="E67" s="144">
        <v>20000</v>
      </c>
      <c r="F67" s="102">
        <v>1500</v>
      </c>
      <c r="O67" s="197"/>
      <c r="P67" s="183"/>
    </row>
    <row r="68" spans="2:16" x14ac:dyDescent="0.2">
      <c r="B68" s="107"/>
      <c r="C68" s="98"/>
      <c r="D68" s="144"/>
      <c r="E68" s="144"/>
      <c r="F68" s="102"/>
      <c r="P68" s="183"/>
    </row>
    <row r="69" spans="2:16" ht="31.5" x14ac:dyDescent="0.25">
      <c r="B69" s="105" t="s">
        <v>450</v>
      </c>
      <c r="C69" s="112" t="e">
        <f>#REF!</f>
        <v>#REF!</v>
      </c>
      <c r="D69" s="133">
        <f>SUM(D70:D71)</f>
        <v>19000</v>
      </c>
      <c r="E69" s="133">
        <f>SUM(E70:E71)</f>
        <v>17000</v>
      </c>
      <c r="F69" s="163">
        <f>SUM(F70:F71)</f>
        <v>2000</v>
      </c>
      <c r="P69" s="183"/>
    </row>
    <row r="70" spans="2:16" ht="38.25" x14ac:dyDescent="0.2">
      <c r="B70" s="104" t="s">
        <v>500</v>
      </c>
      <c r="C70" s="113" t="e">
        <f>#REF!</f>
        <v>#REF!</v>
      </c>
      <c r="D70" s="114">
        <f t="shared" ref="D70:D82" si="1">E70+F70</f>
        <v>11000</v>
      </c>
      <c r="E70" s="114">
        <f>13000-3000</f>
        <v>10000</v>
      </c>
      <c r="F70" s="102">
        <f>1000</f>
        <v>1000</v>
      </c>
      <c r="O70" s="198"/>
      <c r="P70" s="183"/>
    </row>
    <row r="71" spans="2:16" ht="25.5" x14ac:dyDescent="0.2">
      <c r="B71" s="104" t="s">
        <v>452</v>
      </c>
      <c r="C71" s="113" t="e">
        <f>#REF!</f>
        <v>#REF!</v>
      </c>
      <c r="D71" s="114">
        <f>E71+F71</f>
        <v>8000</v>
      </c>
      <c r="E71" s="114">
        <v>7000</v>
      </c>
      <c r="F71" s="102">
        <v>1000</v>
      </c>
      <c r="O71" s="198"/>
      <c r="P71" s="183"/>
    </row>
    <row r="72" spans="2:16" ht="47.25" x14ac:dyDescent="0.25">
      <c r="B72" s="105" t="s">
        <v>551</v>
      </c>
      <c r="C72" s="98"/>
      <c r="D72" s="133">
        <f>F72+E72</f>
        <v>10500</v>
      </c>
      <c r="E72" s="133">
        <v>9000</v>
      </c>
      <c r="F72" s="133">
        <v>1500</v>
      </c>
      <c r="P72" s="183"/>
    </row>
    <row r="73" spans="2:16" ht="31.5" x14ac:dyDescent="0.25">
      <c r="B73" s="105" t="s">
        <v>552</v>
      </c>
      <c r="C73" s="112" t="e">
        <f>#REF!</f>
        <v>#REF!</v>
      </c>
      <c r="D73" s="133">
        <f>SUM(D74:D76)</f>
        <v>64000</v>
      </c>
      <c r="E73" s="133">
        <f>SUM(E74:E76)</f>
        <v>61000</v>
      </c>
      <c r="F73" s="163">
        <f>SUM(F74:F76)</f>
        <v>3000</v>
      </c>
      <c r="P73" s="94"/>
    </row>
    <row r="74" spans="2:16" ht="25.5" x14ac:dyDescent="0.2">
      <c r="B74" s="104" t="s">
        <v>453</v>
      </c>
      <c r="C74" s="113" t="e">
        <f>#REF!</f>
        <v>#REF!</v>
      </c>
      <c r="D74" s="114">
        <f t="shared" si="1"/>
        <v>45000</v>
      </c>
      <c r="E74" s="114">
        <v>42000</v>
      </c>
      <c r="F74" s="102">
        <f>2000+1000</f>
        <v>3000</v>
      </c>
      <c r="P74" s="94"/>
    </row>
    <row r="75" spans="2:16" ht="38.25" x14ac:dyDescent="0.2">
      <c r="B75" s="104" t="s">
        <v>501</v>
      </c>
      <c r="C75" s="113" t="e">
        <f>#REF!</f>
        <v>#REF!</v>
      </c>
      <c r="D75" s="114">
        <f t="shared" si="1"/>
        <v>12000</v>
      </c>
      <c r="E75" s="114">
        <v>12000</v>
      </c>
      <c r="F75" s="102"/>
      <c r="P75" s="94"/>
    </row>
    <row r="76" spans="2:16" ht="51" x14ac:dyDescent="0.2">
      <c r="B76" s="104" t="s">
        <v>454</v>
      </c>
      <c r="C76" s="113" t="e">
        <f>#REF!</f>
        <v>#REF!</v>
      </c>
      <c r="D76" s="114">
        <f t="shared" si="1"/>
        <v>7000</v>
      </c>
      <c r="E76" s="114">
        <v>7000</v>
      </c>
      <c r="F76" s="102"/>
      <c r="P76" s="94"/>
    </row>
    <row r="77" spans="2:16" x14ac:dyDescent="0.2">
      <c r="B77" s="106"/>
      <c r="C77" s="98"/>
      <c r="D77" s="114"/>
      <c r="E77" s="98"/>
      <c r="F77" s="102"/>
      <c r="P77" s="94"/>
    </row>
    <row r="78" spans="2:16" ht="56.25" x14ac:dyDescent="0.25">
      <c r="B78" s="150" t="s">
        <v>455</v>
      </c>
      <c r="C78" s="151" t="e">
        <f>#REF!</f>
        <v>#REF!</v>
      </c>
      <c r="D78" s="152">
        <f>SUM(D79,D83,D85)</f>
        <v>260869.15887850453</v>
      </c>
      <c r="E78" s="152">
        <f t="shared" ref="E78:F78" si="2">SUM(E79,E83,E85)</f>
        <v>255869.15887850453</v>
      </c>
      <c r="F78" s="190">
        <f t="shared" si="2"/>
        <v>5000</v>
      </c>
      <c r="O78" s="193"/>
    </row>
    <row r="79" spans="2:16" ht="47.25" x14ac:dyDescent="0.25">
      <c r="B79" s="105" t="s">
        <v>456</v>
      </c>
      <c r="C79" s="112" t="e">
        <f>#REF!</f>
        <v>#REF!</v>
      </c>
      <c r="D79" s="97">
        <f>SUM(D80:D82)</f>
        <v>55000</v>
      </c>
      <c r="E79" s="97">
        <f>SUM(E80:E82)</f>
        <v>52000</v>
      </c>
      <c r="F79" s="162">
        <f>SUM(F80:F82)</f>
        <v>3000</v>
      </c>
      <c r="O79" s="193"/>
    </row>
    <row r="80" spans="2:16" ht="25.5" x14ac:dyDescent="0.2">
      <c r="B80" s="104" t="s">
        <v>457</v>
      </c>
      <c r="C80" s="113" t="e">
        <f>#REF!</f>
        <v>#REF!</v>
      </c>
      <c r="D80" s="114">
        <f t="shared" si="1"/>
        <v>6000</v>
      </c>
      <c r="E80" s="114">
        <v>5000</v>
      </c>
      <c r="F80" s="102">
        <f>1000</f>
        <v>1000</v>
      </c>
      <c r="O80" s="193"/>
    </row>
    <row r="81" spans="1:15" ht="25.5" x14ac:dyDescent="0.2">
      <c r="B81" s="104" t="s">
        <v>458</v>
      </c>
      <c r="C81" s="113" t="e">
        <f>#REF!</f>
        <v>#REF!</v>
      </c>
      <c r="D81" s="114">
        <f t="shared" si="1"/>
        <v>49000</v>
      </c>
      <c r="E81" s="114">
        <f>49000-2000</f>
        <v>47000</v>
      </c>
      <c r="F81" s="102">
        <v>2000</v>
      </c>
      <c r="O81" s="193"/>
    </row>
    <row r="82" spans="1:15" x14ac:dyDescent="0.2">
      <c r="B82" s="107"/>
      <c r="C82" s="98"/>
      <c r="D82" s="114">
        <f t="shared" si="1"/>
        <v>0</v>
      </c>
      <c r="E82" s="98"/>
      <c r="F82" s="102"/>
      <c r="O82" s="193"/>
    </row>
    <row r="83" spans="1:15" ht="99" customHeight="1" x14ac:dyDescent="0.25">
      <c r="B83" s="105" t="s">
        <v>459</v>
      </c>
      <c r="C83" s="112" t="e">
        <f>#REF!</f>
        <v>#REF!</v>
      </c>
      <c r="D83" s="97">
        <f>F83+E83</f>
        <v>190000</v>
      </c>
      <c r="E83" s="97">
        <f>195000-5000</f>
        <v>190000</v>
      </c>
      <c r="F83" s="100"/>
      <c r="O83" s="193"/>
    </row>
    <row r="84" spans="1:15" x14ac:dyDescent="0.2">
      <c r="B84" s="107"/>
      <c r="C84" s="98"/>
      <c r="D84" s="98"/>
      <c r="E84" s="98"/>
      <c r="F84" s="102"/>
      <c r="O84" s="193"/>
    </row>
    <row r="85" spans="1:15" ht="33" customHeight="1" x14ac:dyDescent="0.25">
      <c r="B85" s="105" t="s">
        <v>460</v>
      </c>
      <c r="C85" s="112" t="e">
        <f>#REF!</f>
        <v>#REF!</v>
      </c>
      <c r="D85" s="97">
        <f>E85+F85</f>
        <v>15869.158878504531</v>
      </c>
      <c r="E85" s="97">
        <f>J99-5000</f>
        <v>13869.158878504531</v>
      </c>
      <c r="F85" s="100">
        <v>2000</v>
      </c>
      <c r="G85" s="116"/>
      <c r="O85" s="193"/>
    </row>
    <row r="86" spans="1:15" x14ac:dyDescent="0.2">
      <c r="B86" s="106"/>
      <c r="C86" s="98"/>
      <c r="D86" s="98"/>
      <c r="E86" s="98"/>
      <c r="F86" s="102"/>
    </row>
    <row r="87" spans="1:15" ht="18.75" thickBot="1" x14ac:dyDescent="0.25">
      <c r="A87" s="143"/>
      <c r="B87" s="141" t="s">
        <v>502</v>
      </c>
      <c r="C87" s="142"/>
      <c r="D87" s="145">
        <f>D58+D31+D3</f>
        <v>1026869.1588785045</v>
      </c>
      <c r="E87" s="145">
        <f>SUM(E58,E31,E3)</f>
        <v>831869.15887850453</v>
      </c>
      <c r="F87" s="164">
        <f>SUM(F58,F31,F3)</f>
        <v>195000</v>
      </c>
      <c r="G87" s="136"/>
      <c r="H87" s="116">
        <f>H99-SUM(D89:D92)</f>
        <v>1026869.1588785045</v>
      </c>
      <c r="I87" s="132">
        <v>994869.15887850453</v>
      </c>
      <c r="J87" s="111">
        <f>(D87-H87)/D87</f>
        <v>0</v>
      </c>
      <c r="K87" s="83">
        <v>404869.15887850453</v>
      </c>
    </row>
    <row r="88" spans="1:15" x14ac:dyDescent="0.2">
      <c r="A88" s="93"/>
      <c r="B88" s="191"/>
      <c r="C88" s="93"/>
      <c r="D88" s="93"/>
      <c r="E88" s="93"/>
      <c r="F88" s="192"/>
    </row>
    <row r="89" spans="1:15" s="117" customFormat="1" ht="34.5" customHeight="1" x14ac:dyDescent="0.2">
      <c r="B89" s="16" t="s">
        <v>374</v>
      </c>
      <c r="C89" s="129"/>
      <c r="D89" s="200">
        <f>E89+F89</f>
        <v>75000</v>
      </c>
      <c r="E89" s="200">
        <v>30000</v>
      </c>
      <c r="F89" s="202">
        <f>60000*75%</f>
        <v>45000</v>
      </c>
      <c r="H89" s="148"/>
    </row>
    <row r="90" spans="1:15" s="117" customFormat="1" ht="35.25" customHeight="1" x14ac:dyDescent="0.2">
      <c r="B90" s="16" t="s">
        <v>375</v>
      </c>
      <c r="C90" s="129"/>
      <c r="D90" s="200">
        <f>E90+F90</f>
        <v>210000</v>
      </c>
      <c r="E90" s="200">
        <f>40000+J102+(170000-30000)</f>
        <v>184626.16822429909</v>
      </c>
      <c r="F90" s="202">
        <f>35000-J102-10000+5000</f>
        <v>25373.831775700906</v>
      </c>
    </row>
    <row r="91" spans="1:15" s="117" customFormat="1" ht="25.5" customHeight="1" x14ac:dyDescent="0.2">
      <c r="B91" s="16" t="s">
        <v>376</v>
      </c>
      <c r="C91" s="129"/>
      <c r="D91" s="200">
        <f t="shared" ref="D91:D92" si="3">E91+F91</f>
        <v>55000</v>
      </c>
      <c r="E91" s="200">
        <v>40000</v>
      </c>
      <c r="F91" s="202">
        <v>15000</v>
      </c>
    </row>
    <row r="92" spans="1:15" s="117" customFormat="1" ht="26.25" customHeight="1" thickBot="1" x14ac:dyDescent="0.25">
      <c r="B92" s="56" t="s">
        <v>377</v>
      </c>
      <c r="C92" s="166"/>
      <c r="D92" s="200">
        <f t="shared" si="3"/>
        <v>35000</v>
      </c>
      <c r="E92" s="201">
        <v>35000</v>
      </c>
      <c r="F92" s="203"/>
    </row>
    <row r="93" spans="1:15" s="117" customFormat="1" ht="18.75" x14ac:dyDescent="0.2">
      <c r="B93" s="167" t="s">
        <v>517</v>
      </c>
      <c r="C93" s="168"/>
      <c r="D93" s="174">
        <f>SUM(D87:D92)</f>
        <v>1401869.1588785045</v>
      </c>
      <c r="E93" s="174">
        <f t="shared" ref="E93:F93" si="4">SUM(E87:E92)</f>
        <v>1121495.3271028036</v>
      </c>
      <c r="F93" s="175">
        <f t="shared" si="4"/>
        <v>280373.83177570091</v>
      </c>
      <c r="I93" s="146"/>
    </row>
    <row r="94" spans="1:15" s="120" customFormat="1" ht="18" x14ac:dyDescent="0.25">
      <c r="B94" s="169" t="s">
        <v>516</v>
      </c>
      <c r="C94" s="165"/>
      <c r="D94" s="176">
        <f>D93*7%</f>
        <v>98130.841121495323</v>
      </c>
      <c r="E94" s="176">
        <f t="shared" ref="E94:F94" si="5">E93*7%</f>
        <v>78504.672897196258</v>
      </c>
      <c r="F94" s="177">
        <f t="shared" si="5"/>
        <v>19626.168224299065</v>
      </c>
    </row>
    <row r="95" spans="1:15" s="120" customFormat="1" ht="18.75" thickBot="1" x14ac:dyDescent="0.3">
      <c r="B95" s="170" t="s">
        <v>515</v>
      </c>
      <c r="C95" s="171"/>
      <c r="D95" s="172">
        <f>SUM(D93:D94)</f>
        <v>1499999.9999999998</v>
      </c>
      <c r="E95" s="172">
        <f>SUM(E93:E94)</f>
        <v>1200000</v>
      </c>
      <c r="F95" s="173">
        <f>SUM(F93:F94)</f>
        <v>300000</v>
      </c>
    </row>
    <row r="96" spans="1:15" s="120" customFormat="1" ht="15.75" hidden="1" customHeight="1" x14ac:dyDescent="0.2">
      <c r="B96" s="125"/>
      <c r="C96" s="122"/>
      <c r="E96" s="123"/>
      <c r="F96" s="123"/>
    </row>
    <row r="97" spans="2:16" s="120" customFormat="1" hidden="1" x14ac:dyDescent="0.2">
      <c r="B97" s="125"/>
      <c r="C97" s="122"/>
      <c r="D97" s="147">
        <f>1500000-D95</f>
        <v>0</v>
      </c>
      <c r="E97" s="123"/>
      <c r="F97" s="123"/>
      <c r="P97" s="199"/>
    </row>
    <row r="98" spans="2:16" s="120" customFormat="1" hidden="1" x14ac:dyDescent="0.2">
      <c r="B98" s="125"/>
      <c r="C98" s="122"/>
      <c r="D98" s="147">
        <f>D97*2</f>
        <v>0</v>
      </c>
      <c r="E98" s="123"/>
      <c r="F98" s="123"/>
    </row>
    <row r="99" spans="2:16" s="120" customFormat="1" ht="15.75" hidden="1" x14ac:dyDescent="0.25">
      <c r="B99" s="125"/>
      <c r="C99" s="122"/>
      <c r="E99" s="123"/>
      <c r="F99" s="123"/>
      <c r="H99" s="131">
        <f>1500000/1.07</f>
        <v>1401869.1588785045</v>
      </c>
      <c r="I99" s="149">
        <f>H99-D93</f>
        <v>0</v>
      </c>
      <c r="J99" s="120">
        <v>18869.158878504531</v>
      </c>
    </row>
    <row r="100" spans="2:16" s="120" customFormat="1" hidden="1" x14ac:dyDescent="0.2">
      <c r="B100" s="125"/>
      <c r="C100" s="122"/>
      <c r="D100" s="178" t="e">
        <f>('2) RF par categorie budgetaire'!#REF!-75000)/'2) RF par categorie budgetaire'!#REF!</f>
        <v>#REF!</v>
      </c>
      <c r="E100" s="123"/>
      <c r="F100" s="123"/>
    </row>
    <row r="101" spans="2:16" s="120" customFormat="1" hidden="1" x14ac:dyDescent="0.2">
      <c r="B101" s="125"/>
      <c r="C101" s="122"/>
      <c r="E101" s="123"/>
      <c r="F101" s="123"/>
    </row>
    <row r="102" spans="2:16" s="120" customFormat="1" hidden="1" x14ac:dyDescent="0.2">
      <c r="B102" s="125"/>
      <c r="C102" s="122"/>
      <c r="E102" s="123"/>
      <c r="F102" s="123" t="s">
        <v>424</v>
      </c>
      <c r="I102" s="120">
        <f>Personnel-I103</f>
        <v>0</v>
      </c>
      <c r="J102" s="120">
        <v>4626.1682242990937</v>
      </c>
    </row>
    <row r="103" spans="2:16" s="120" customFormat="1" hidden="1" x14ac:dyDescent="0.2">
      <c r="B103" s="125"/>
      <c r="C103" s="122"/>
      <c r="E103" s="123"/>
      <c r="F103" s="123"/>
      <c r="I103" s="120">
        <f>300000/1.07</f>
        <v>280373.83177570091</v>
      </c>
    </row>
    <row r="104" spans="2:16" s="120" customFormat="1" hidden="1" x14ac:dyDescent="0.2">
      <c r="B104" s="125"/>
      <c r="C104" s="122"/>
      <c r="E104" s="123"/>
      <c r="F104" s="123"/>
    </row>
    <row r="105" spans="2:16" s="120" customFormat="1" hidden="1" x14ac:dyDescent="0.2">
      <c r="B105" s="125"/>
      <c r="C105" s="122"/>
      <c r="E105" s="123"/>
      <c r="F105" s="123"/>
    </row>
    <row r="106" spans="2:16" s="120" customFormat="1" hidden="1" x14ac:dyDescent="0.2">
      <c r="B106" s="124"/>
      <c r="C106" s="122"/>
      <c r="E106" s="123"/>
      <c r="F106" s="123"/>
    </row>
    <row r="107" spans="2:16" s="120" customFormat="1" hidden="1" x14ac:dyDescent="0.2">
      <c r="B107" s="121"/>
      <c r="C107" s="122"/>
      <c r="E107" s="123"/>
      <c r="F107" s="123"/>
    </row>
    <row r="108" spans="2:16" s="120" customFormat="1" hidden="1" x14ac:dyDescent="0.2">
      <c r="B108" s="124"/>
      <c r="C108" s="122"/>
      <c r="E108" s="123"/>
      <c r="F108" s="123"/>
    </row>
    <row r="109" spans="2:16" s="120" customFormat="1" hidden="1" x14ac:dyDescent="0.2">
      <c r="B109" s="124"/>
      <c r="C109" s="122"/>
      <c r="E109" s="123"/>
      <c r="F109" s="123"/>
    </row>
    <row r="110" spans="2:16" s="120" customFormat="1" hidden="1" x14ac:dyDescent="0.2">
      <c r="B110" s="124"/>
      <c r="C110" s="122"/>
      <c r="E110" s="123"/>
      <c r="F110" s="123"/>
    </row>
    <row r="111" spans="2:16" s="117" customFormat="1" ht="15.75" hidden="1" x14ac:dyDescent="0.2">
      <c r="B111" s="119"/>
      <c r="F111" s="118"/>
    </row>
    <row r="112" spans="2:16" s="117" customFormat="1" ht="15.75" hidden="1" x14ac:dyDescent="0.2">
      <c r="B112" s="119"/>
      <c r="F112" s="118"/>
    </row>
    <row r="113" spans="2:6" s="117" customFormat="1" ht="15.75" hidden="1" x14ac:dyDescent="0.2">
      <c r="B113" s="126"/>
      <c r="F113" s="118"/>
    </row>
    <row r="114" spans="2:6" s="117" customFormat="1" ht="15.75" hidden="1" x14ac:dyDescent="0.2">
      <c r="B114" s="119"/>
      <c r="F114" s="118"/>
    </row>
    <row r="115" spans="2:6" s="117" customFormat="1" ht="15.75" x14ac:dyDescent="0.2">
      <c r="B115" s="119"/>
      <c r="F115" s="118"/>
    </row>
    <row r="116" spans="2:6" s="117" customFormat="1" ht="15.75" x14ac:dyDescent="0.2">
      <c r="B116" s="119"/>
      <c r="F116" s="118"/>
    </row>
    <row r="117" spans="2:6" s="117" customFormat="1" ht="15.75" x14ac:dyDescent="0.25">
      <c r="B117" s="127"/>
      <c r="F117" s="118"/>
    </row>
    <row r="118" spans="2:6" s="117" customFormat="1" x14ac:dyDescent="0.2">
      <c r="F118" s="118"/>
    </row>
    <row r="119" spans="2:6" s="117" customFormat="1" x14ac:dyDescent="0.2">
      <c r="F119" s="118"/>
    </row>
    <row r="120" spans="2:6" s="117" customFormat="1" x14ac:dyDescent="0.2">
      <c r="F120" s="118"/>
    </row>
    <row r="121" spans="2:6" s="117" customFormat="1" x14ac:dyDescent="0.2">
      <c r="F121" s="118"/>
    </row>
    <row r="122" spans="2:6" s="117" customFormat="1" x14ac:dyDescent="0.2">
      <c r="F122" s="118"/>
    </row>
    <row r="123" spans="2:6" s="117" customFormat="1" x14ac:dyDescent="0.2">
      <c r="F123" s="118"/>
    </row>
    <row r="124" spans="2:6" s="117" customFormat="1" x14ac:dyDescent="0.2">
      <c r="F124" s="118"/>
    </row>
    <row r="125" spans="2:6" s="117" customFormat="1" x14ac:dyDescent="0.2">
      <c r="F125" s="118"/>
    </row>
    <row r="126" spans="2:6" s="117" customFormat="1" x14ac:dyDescent="0.2">
      <c r="F126" s="118"/>
    </row>
    <row r="127" spans="2:6" s="117" customFormat="1" x14ac:dyDescent="0.2">
      <c r="F127" s="118"/>
    </row>
    <row r="128" spans="2:6" s="117" customFormat="1" x14ac:dyDescent="0.2">
      <c r="F128" s="118"/>
    </row>
    <row r="129" spans="6:6" s="117" customFormat="1" x14ac:dyDescent="0.2">
      <c r="F129" s="118"/>
    </row>
    <row r="130" spans="6:6" s="117" customFormat="1" x14ac:dyDescent="0.2">
      <c r="F130" s="118"/>
    </row>
    <row r="131" spans="6:6" s="117" customFormat="1" x14ac:dyDescent="0.2">
      <c r="F131" s="118"/>
    </row>
    <row r="132" spans="6:6" s="117" customFormat="1" x14ac:dyDescent="0.2">
      <c r="F132" s="118"/>
    </row>
    <row r="133" spans="6:6" s="117" customFormat="1" x14ac:dyDescent="0.2">
      <c r="F133" s="118"/>
    </row>
    <row r="134" spans="6:6" s="117" customFormat="1" x14ac:dyDescent="0.2">
      <c r="F134" s="118"/>
    </row>
    <row r="135" spans="6:6" s="117" customFormat="1" x14ac:dyDescent="0.2">
      <c r="F135" s="118"/>
    </row>
    <row r="136" spans="6:6" s="117" customFormat="1" x14ac:dyDescent="0.2">
      <c r="F136" s="118"/>
    </row>
    <row r="137" spans="6:6" s="117" customFormat="1" x14ac:dyDescent="0.2">
      <c r="F137" s="118"/>
    </row>
    <row r="138" spans="6:6" s="117" customFormat="1" x14ac:dyDescent="0.2">
      <c r="F138" s="118"/>
    </row>
    <row r="139" spans="6:6" s="117" customFormat="1" x14ac:dyDescent="0.2">
      <c r="F139" s="118"/>
    </row>
    <row r="140" spans="6:6" s="117" customFormat="1" x14ac:dyDescent="0.2">
      <c r="F140" s="118"/>
    </row>
    <row r="141" spans="6:6" s="117" customFormat="1" x14ac:dyDescent="0.2">
      <c r="F141" s="118"/>
    </row>
    <row r="142" spans="6:6" s="117" customFormat="1" x14ac:dyDescent="0.2">
      <c r="F142" s="118"/>
    </row>
    <row r="143" spans="6:6" s="117" customFormat="1" x14ac:dyDescent="0.2">
      <c r="F143" s="118"/>
    </row>
    <row r="144" spans="6:6" s="117" customFormat="1" x14ac:dyDescent="0.2">
      <c r="F144" s="118"/>
    </row>
    <row r="145" spans="6:6" s="117" customFormat="1" x14ac:dyDescent="0.2">
      <c r="F145" s="118"/>
    </row>
    <row r="146" spans="6:6" s="117" customFormat="1" x14ac:dyDescent="0.2">
      <c r="F146" s="118"/>
    </row>
    <row r="147" spans="6:6" s="117" customFormat="1" x14ac:dyDescent="0.2">
      <c r="F147" s="118"/>
    </row>
    <row r="148" spans="6:6" s="117" customFormat="1" x14ac:dyDescent="0.2">
      <c r="F148" s="118"/>
    </row>
    <row r="149" spans="6:6" s="117" customFormat="1" x14ac:dyDescent="0.2">
      <c r="F149" s="118"/>
    </row>
    <row r="150" spans="6:6" s="117" customFormat="1" x14ac:dyDescent="0.2">
      <c r="F150" s="118"/>
    </row>
    <row r="151" spans="6:6" s="117" customFormat="1" x14ac:dyDescent="0.2">
      <c r="F151" s="118"/>
    </row>
    <row r="152" spans="6:6" s="117" customFormat="1" x14ac:dyDescent="0.2">
      <c r="F152" s="118"/>
    </row>
    <row r="153" spans="6:6" s="117" customFormat="1" x14ac:dyDescent="0.2">
      <c r="F153" s="118"/>
    </row>
    <row r="154" spans="6:6" s="117" customFormat="1" x14ac:dyDescent="0.2">
      <c r="F154" s="118"/>
    </row>
    <row r="155" spans="6:6" s="117" customFormat="1" x14ac:dyDescent="0.2">
      <c r="F155" s="118"/>
    </row>
    <row r="156" spans="6:6" s="117" customFormat="1" x14ac:dyDescent="0.2">
      <c r="F156" s="118"/>
    </row>
    <row r="157" spans="6:6" s="117" customFormat="1" x14ac:dyDescent="0.2">
      <c r="F157" s="118"/>
    </row>
    <row r="158" spans="6:6" s="117" customFormat="1" x14ac:dyDescent="0.2">
      <c r="F158" s="118"/>
    </row>
    <row r="159" spans="6:6" s="117" customFormat="1" x14ac:dyDescent="0.2">
      <c r="F159" s="118"/>
    </row>
    <row r="160" spans="6:6" s="117" customFormat="1" x14ac:dyDescent="0.2">
      <c r="F160" s="118"/>
    </row>
    <row r="161" spans="6:6" s="94" customFormat="1" x14ac:dyDescent="0.2">
      <c r="F161" s="95"/>
    </row>
    <row r="162" spans="6:6" s="94" customFormat="1" x14ac:dyDescent="0.2">
      <c r="F162" s="95"/>
    </row>
    <row r="163" spans="6:6" s="94" customFormat="1" x14ac:dyDescent="0.2">
      <c r="F163" s="95"/>
    </row>
    <row r="164" spans="6:6" s="94" customFormat="1" x14ac:dyDescent="0.2">
      <c r="F164" s="95"/>
    </row>
    <row r="165" spans="6:6" s="94" customFormat="1" x14ac:dyDescent="0.2">
      <c r="F165" s="95"/>
    </row>
    <row r="166" spans="6:6" s="94" customFormat="1" x14ac:dyDescent="0.2">
      <c r="F166" s="95"/>
    </row>
    <row r="167" spans="6:6" s="94" customFormat="1" x14ac:dyDescent="0.2">
      <c r="F167" s="95"/>
    </row>
    <row r="168" spans="6:6" s="94" customFormat="1" x14ac:dyDescent="0.2">
      <c r="F168" s="95"/>
    </row>
    <row r="169" spans="6:6" s="94" customFormat="1" x14ac:dyDescent="0.2">
      <c r="F169" s="95"/>
    </row>
    <row r="170" spans="6:6" s="94" customFormat="1" x14ac:dyDescent="0.2">
      <c r="F170" s="95"/>
    </row>
    <row r="171" spans="6:6" s="94" customFormat="1" x14ac:dyDescent="0.2">
      <c r="F171" s="95"/>
    </row>
    <row r="172" spans="6:6" s="94" customFormat="1" x14ac:dyDescent="0.2">
      <c r="F172" s="95"/>
    </row>
    <row r="173" spans="6:6" s="94" customFormat="1" x14ac:dyDescent="0.2">
      <c r="F173" s="95"/>
    </row>
    <row r="174" spans="6:6" s="94" customFormat="1" x14ac:dyDescent="0.2">
      <c r="F174" s="95"/>
    </row>
    <row r="175" spans="6:6" s="94" customFormat="1" x14ac:dyDescent="0.2">
      <c r="F175" s="95"/>
    </row>
    <row r="176" spans="6:6" s="94" customFormat="1" x14ac:dyDescent="0.2">
      <c r="F176" s="95"/>
    </row>
    <row r="177" spans="6:6" s="94" customFormat="1" x14ac:dyDescent="0.2">
      <c r="F177" s="95"/>
    </row>
    <row r="178" spans="6:6" s="94" customFormat="1" x14ac:dyDescent="0.2">
      <c r="F178" s="95"/>
    </row>
    <row r="179" spans="6:6" s="94" customFormat="1" x14ac:dyDescent="0.2">
      <c r="F179" s="95"/>
    </row>
    <row r="180" spans="6:6" s="94" customFormat="1" x14ac:dyDescent="0.2">
      <c r="F180" s="95"/>
    </row>
    <row r="181" spans="6:6" s="94" customFormat="1" x14ac:dyDescent="0.2">
      <c r="F181" s="95"/>
    </row>
    <row r="182" spans="6:6" s="94" customFormat="1" x14ac:dyDescent="0.2">
      <c r="F182" s="95"/>
    </row>
    <row r="183" spans="6:6" s="94" customFormat="1" x14ac:dyDescent="0.2">
      <c r="F183" s="95"/>
    </row>
    <row r="184" spans="6:6" s="94" customFormat="1" x14ac:dyDescent="0.2">
      <c r="F184" s="95"/>
    </row>
    <row r="185" spans="6:6" s="94" customFormat="1" x14ac:dyDescent="0.2">
      <c r="F185" s="95"/>
    </row>
    <row r="186" spans="6:6" s="94" customFormat="1" x14ac:dyDescent="0.2">
      <c r="F186" s="95"/>
    </row>
    <row r="187" spans="6:6" s="94" customFormat="1" x14ac:dyDescent="0.2">
      <c r="F187" s="95"/>
    </row>
    <row r="188" spans="6:6" s="94" customFormat="1" x14ac:dyDescent="0.2">
      <c r="F188" s="95"/>
    </row>
  </sheetData>
  <dataValidations count="7">
    <dataValidation allowBlank="1" showInputMessage="1" showErrorMessage="1" prompt=" Includes all general operating costs for running an office. Examples include telecommunication, rents, finance charges and other costs which cannot be mapped to other expense categories." sqref="B116" xr:uid="{00000000-0002-0000-0100-000000000000}"/>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B115" xr:uid="{00000000-0002-0000-0100-000001000000}"/>
    <dataValidation allowBlank="1" showInputMessage="1" showErrorMessage="1" prompt="Services contracted by an organization which follow the normal procurement processes." sqref="B113" xr:uid="{00000000-0002-0000-0100-000002000000}"/>
    <dataValidation allowBlank="1" showInputMessage="1" showErrorMessage="1" prompt="Includes staff and non-staff travel paid for by the organization directly related to a project." sqref="B114" xr:uid="{00000000-0002-0000-0100-000003000000}"/>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B112" xr:uid="{00000000-0002-0000-0100-000004000000}"/>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B111" xr:uid="{00000000-0002-0000-0100-000005000000}"/>
    <dataValidation allowBlank="1" showInputMessage="1" showErrorMessage="1" prompt="Includes all related staff and temporary staff costs including base salary, post adjustment and all staff entitlements." sqref="B93:B110" xr:uid="{00000000-0002-0000-0100-000006000000}"/>
  </dataValidations>
  <pageMargins left="0.7" right="0.7" top="0.75" bottom="0.75" header="0.3" footer="0.3"/>
  <pageSetup paperSize="9" orientation="portrait" horizontalDpi="4294967293"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filterMode="1"/>
  <dimension ref="A1:S135"/>
  <sheetViews>
    <sheetView topLeftCell="B98" workbookViewId="0">
      <selection activeCell="N130" sqref="N130"/>
    </sheetView>
  </sheetViews>
  <sheetFormatPr baseColWidth="10" defaultColWidth="11.5703125" defaultRowHeight="15" x14ac:dyDescent="0.25"/>
  <cols>
    <col min="1" max="4" width="11.42578125" style="317" customWidth="1"/>
    <col min="5" max="5" width="42" style="317" customWidth="1"/>
    <col min="6" max="12" width="11.42578125" style="317" customWidth="1"/>
    <col min="13" max="13" width="23.5703125" style="317" customWidth="1"/>
    <col min="14" max="14" width="11.42578125" style="468" customWidth="1"/>
    <col min="15" max="15" width="11.42578125" style="469" customWidth="1"/>
    <col min="16" max="16" width="13" style="323" bestFit="1" customWidth="1"/>
    <col min="17" max="17" width="14" style="317" customWidth="1"/>
    <col min="18" max="16384" width="11.5703125" style="317"/>
  </cols>
  <sheetData>
    <row r="1" spans="1:18" ht="24.75" thickBot="1" x14ac:dyDescent="0.3">
      <c r="A1" s="800" t="s">
        <v>617</v>
      </c>
      <c r="B1" s="800"/>
      <c r="C1" s="800" t="s">
        <v>618</v>
      </c>
      <c r="D1" s="800"/>
      <c r="E1" s="800"/>
      <c r="F1" s="801" t="s">
        <v>619</v>
      </c>
      <c r="G1" s="801"/>
      <c r="H1" s="801"/>
      <c r="I1" s="801"/>
      <c r="J1" s="801"/>
      <c r="K1" s="801"/>
      <c r="L1" s="316" t="s">
        <v>620</v>
      </c>
      <c r="M1" s="316"/>
      <c r="N1" s="801" t="s">
        <v>621</v>
      </c>
      <c r="O1" s="801"/>
      <c r="P1" s="801"/>
    </row>
    <row r="2" spans="1:18" ht="27" hidden="1" customHeight="1" thickBot="1" x14ac:dyDescent="0.3">
      <c r="A2" s="802" t="s">
        <v>622</v>
      </c>
      <c r="B2" s="802"/>
      <c r="C2" s="803" t="s">
        <v>623</v>
      </c>
      <c r="D2" s="803"/>
      <c r="E2" s="803"/>
      <c r="F2" s="318" t="s">
        <v>624</v>
      </c>
      <c r="G2" s="318" t="s">
        <v>625</v>
      </c>
      <c r="H2" s="318" t="s">
        <v>626</v>
      </c>
      <c r="I2" s="318" t="s">
        <v>627</v>
      </c>
      <c r="J2" s="318" t="s">
        <v>628</v>
      </c>
      <c r="K2" s="318" t="s">
        <v>629</v>
      </c>
      <c r="L2" s="319"/>
      <c r="M2" s="319" t="s">
        <v>630</v>
      </c>
      <c r="N2" s="318" t="s">
        <v>631</v>
      </c>
      <c r="O2" s="320" t="s">
        <v>632</v>
      </c>
      <c r="P2" s="321" t="s">
        <v>633</v>
      </c>
    </row>
    <row r="3" spans="1:18" ht="15.75" hidden="1" customHeight="1" thickBot="1" x14ac:dyDescent="0.3">
      <c r="A3" s="805" t="s">
        <v>634</v>
      </c>
      <c r="B3" s="806"/>
      <c r="C3" s="806"/>
      <c r="D3" s="806"/>
      <c r="E3" s="806"/>
      <c r="F3" s="806"/>
      <c r="G3" s="806"/>
      <c r="H3" s="806"/>
      <c r="I3" s="806"/>
      <c r="J3" s="806"/>
      <c r="K3" s="806"/>
      <c r="L3" s="806"/>
      <c r="M3" s="806"/>
      <c r="N3" s="806"/>
      <c r="O3" s="807"/>
      <c r="P3" s="322">
        <f>SUM(P6:P41)</f>
        <v>381500</v>
      </c>
      <c r="R3" s="323"/>
    </row>
    <row r="4" spans="1:18" ht="15.75" hidden="1" customHeight="1" thickBot="1" x14ac:dyDescent="0.3">
      <c r="A4" s="324"/>
      <c r="B4" s="325"/>
      <c r="C4" s="325"/>
      <c r="D4" s="325"/>
      <c r="E4" s="325"/>
      <c r="F4" s="325"/>
      <c r="G4" s="325"/>
      <c r="H4" s="325"/>
      <c r="I4" s="325"/>
      <c r="J4" s="325"/>
      <c r="K4" s="325"/>
      <c r="L4" s="325"/>
      <c r="M4" s="325"/>
      <c r="N4" s="325"/>
      <c r="O4" s="326" t="s">
        <v>508</v>
      </c>
      <c r="P4" s="327">
        <f>SUM(P6,P10,P9,P11,P12,P14:P15,P16:P17,P18,P20,P22,P24,P27,P31,P32,P34,P35,P37,P40)</f>
        <v>353500</v>
      </c>
      <c r="R4" s="323"/>
    </row>
    <row r="5" spans="1:18" ht="15.75" hidden="1" customHeight="1" thickBot="1" x14ac:dyDescent="0.3">
      <c r="A5" s="328"/>
      <c r="B5" s="328"/>
      <c r="C5" s="328"/>
      <c r="D5" s="328"/>
      <c r="E5" s="328"/>
      <c r="F5" s="328"/>
      <c r="G5" s="328"/>
      <c r="H5" s="328"/>
      <c r="I5" s="328"/>
      <c r="J5" s="328"/>
      <c r="K5" s="328"/>
      <c r="L5" s="328"/>
      <c r="M5" s="328"/>
      <c r="N5" s="328"/>
      <c r="O5" s="329" t="s">
        <v>509</v>
      </c>
      <c r="P5" s="330">
        <f>SUM(P13,P19,P21,P23,P26,P28,P30,P36,P41)</f>
        <v>28000</v>
      </c>
      <c r="R5" s="323"/>
    </row>
    <row r="6" spans="1:18" ht="55.5" hidden="1" customHeight="1" thickBot="1" x14ac:dyDescent="0.3">
      <c r="A6" s="808" t="s">
        <v>635</v>
      </c>
      <c r="B6" s="809"/>
      <c r="C6" s="637" t="s">
        <v>636</v>
      </c>
      <c r="D6" s="602"/>
      <c r="E6" s="601" t="s">
        <v>637</v>
      </c>
      <c r="F6" s="617" t="s">
        <v>638</v>
      </c>
      <c r="G6" s="622"/>
      <c r="H6" s="622"/>
      <c r="I6" s="622"/>
      <c r="J6" s="622"/>
      <c r="K6" s="622"/>
      <c r="L6" s="618" t="s">
        <v>508</v>
      </c>
      <c r="M6" s="643" t="s">
        <v>639</v>
      </c>
      <c r="N6" s="642" t="s">
        <v>640</v>
      </c>
      <c r="O6" s="804" t="s">
        <v>641</v>
      </c>
      <c r="P6" s="612">
        <v>1000</v>
      </c>
      <c r="Q6" s="323"/>
    </row>
    <row r="7" spans="1:18" ht="33.75" hidden="1" customHeight="1" thickBot="1" x14ac:dyDescent="0.3">
      <c r="A7" s="771" t="s">
        <v>642</v>
      </c>
      <c r="B7" s="772"/>
      <c r="C7" s="600"/>
      <c r="D7" s="623"/>
      <c r="E7" s="601"/>
      <c r="F7" s="617"/>
      <c r="G7" s="622"/>
      <c r="H7" s="622"/>
      <c r="I7" s="622"/>
      <c r="J7" s="622"/>
      <c r="K7" s="622"/>
      <c r="L7" s="618"/>
      <c r="M7" s="643"/>
      <c r="N7" s="642"/>
      <c r="O7" s="804"/>
      <c r="P7" s="612"/>
    </row>
    <row r="8" spans="1:18" ht="56.25" hidden="1" customHeight="1" thickBot="1" x14ac:dyDescent="0.3">
      <c r="A8" s="751" t="s">
        <v>643</v>
      </c>
      <c r="B8" s="752"/>
      <c r="C8" s="797" t="s">
        <v>644</v>
      </c>
      <c r="D8" s="718"/>
      <c r="E8" s="601"/>
      <c r="F8" s="617"/>
      <c r="G8" s="622"/>
      <c r="H8" s="622"/>
      <c r="I8" s="622"/>
      <c r="J8" s="622"/>
      <c r="K8" s="622"/>
      <c r="L8" s="618"/>
      <c r="M8" s="643"/>
      <c r="N8" s="642"/>
      <c r="O8" s="804"/>
      <c r="P8" s="612"/>
    </row>
    <row r="9" spans="1:18" ht="43.5" hidden="1" thickBot="1" x14ac:dyDescent="0.3">
      <c r="A9" s="632"/>
      <c r="B9" s="634"/>
      <c r="C9" s="798" t="s">
        <v>424</v>
      </c>
      <c r="D9" s="615"/>
      <c r="E9" s="331" t="s">
        <v>645</v>
      </c>
      <c r="F9" s="332" t="s">
        <v>638</v>
      </c>
      <c r="G9" s="333"/>
      <c r="H9" s="333"/>
      <c r="I9" s="333"/>
      <c r="J9" s="334"/>
      <c r="K9" s="334"/>
      <c r="L9" s="335" t="s">
        <v>508</v>
      </c>
      <c r="M9" s="335" t="s">
        <v>639</v>
      </c>
      <c r="N9" s="336" t="s">
        <v>640</v>
      </c>
      <c r="O9" s="335" t="s">
        <v>641</v>
      </c>
      <c r="P9" s="337">
        <v>14000</v>
      </c>
    </row>
    <row r="10" spans="1:18" ht="29.25" hidden="1" thickBot="1" x14ac:dyDescent="0.3">
      <c r="A10" s="751" t="s">
        <v>646</v>
      </c>
      <c r="B10" s="752"/>
      <c r="C10" s="781" t="s">
        <v>647</v>
      </c>
      <c r="D10" s="681"/>
      <c r="E10" s="331" t="s">
        <v>648</v>
      </c>
      <c r="F10" s="332" t="s">
        <v>638</v>
      </c>
      <c r="G10" s="333"/>
      <c r="H10" s="333"/>
      <c r="I10" s="333"/>
      <c r="J10" s="338"/>
      <c r="K10" s="338"/>
      <c r="L10" s="335" t="s">
        <v>649</v>
      </c>
      <c r="M10" s="335" t="s">
        <v>650</v>
      </c>
      <c r="N10" s="336" t="s">
        <v>640</v>
      </c>
      <c r="O10" s="335" t="s">
        <v>651</v>
      </c>
      <c r="P10" s="337">
        <v>12000</v>
      </c>
    </row>
    <row r="11" spans="1:18" ht="43.5" hidden="1" thickBot="1" x14ac:dyDescent="0.3">
      <c r="A11" s="751" t="s">
        <v>652</v>
      </c>
      <c r="B11" s="752"/>
      <c r="C11" s="798" t="s">
        <v>653</v>
      </c>
      <c r="D11" s="799"/>
      <c r="E11" s="339" t="s">
        <v>654</v>
      </c>
      <c r="F11" s="332" t="s">
        <v>638</v>
      </c>
      <c r="G11" s="333"/>
      <c r="H11" s="333"/>
      <c r="I11" s="333"/>
      <c r="J11" s="338"/>
      <c r="K11" s="338"/>
      <c r="L11" s="335" t="s">
        <v>508</v>
      </c>
      <c r="M11" s="335" t="s">
        <v>655</v>
      </c>
      <c r="N11" s="336" t="s">
        <v>640</v>
      </c>
      <c r="O11" s="335" t="s">
        <v>656</v>
      </c>
      <c r="P11" s="337">
        <v>500</v>
      </c>
    </row>
    <row r="12" spans="1:18" ht="43.5" hidden="1" thickBot="1" x14ac:dyDescent="0.3">
      <c r="A12" s="632"/>
      <c r="B12" s="634"/>
      <c r="C12" s="797" t="s">
        <v>657</v>
      </c>
      <c r="D12" s="650"/>
      <c r="E12" s="340" t="s">
        <v>658</v>
      </c>
      <c r="F12" s="332" t="s">
        <v>638</v>
      </c>
      <c r="G12" s="333"/>
      <c r="H12" s="333"/>
      <c r="I12" s="333"/>
      <c r="J12" s="338"/>
      <c r="K12" s="338"/>
      <c r="L12" s="335" t="s">
        <v>508</v>
      </c>
      <c r="M12" s="335" t="s">
        <v>659</v>
      </c>
      <c r="N12" s="336" t="s">
        <v>640</v>
      </c>
      <c r="O12" s="335" t="s">
        <v>656</v>
      </c>
      <c r="P12" s="337">
        <v>3000</v>
      </c>
    </row>
    <row r="13" spans="1:18" ht="43.5" thickBot="1" x14ac:dyDescent="0.3">
      <c r="A13" s="341"/>
      <c r="B13" s="342"/>
      <c r="C13" s="343"/>
      <c r="D13" s="344"/>
      <c r="E13" s="345"/>
      <c r="F13" s="332"/>
      <c r="G13" s="333"/>
      <c r="H13" s="333"/>
      <c r="I13" s="333"/>
      <c r="J13" s="338"/>
      <c r="K13" s="338"/>
      <c r="L13" s="346" t="s">
        <v>509</v>
      </c>
      <c r="M13" s="334" t="s">
        <v>660</v>
      </c>
      <c r="N13" s="347" t="s">
        <v>640</v>
      </c>
      <c r="O13" s="334"/>
      <c r="P13" s="348">
        <v>8000</v>
      </c>
    </row>
    <row r="14" spans="1:18" ht="72" hidden="1" thickBot="1" x14ac:dyDescent="0.3">
      <c r="A14" s="751" t="s">
        <v>661</v>
      </c>
      <c r="B14" s="752"/>
      <c r="C14" s="787" t="s">
        <v>662</v>
      </c>
      <c r="D14" s="788"/>
      <c r="E14" s="699" t="s">
        <v>663</v>
      </c>
      <c r="F14" s="791" t="s">
        <v>638</v>
      </c>
      <c r="G14" s="793"/>
      <c r="H14" s="793"/>
      <c r="I14" s="793"/>
      <c r="J14" s="783"/>
      <c r="K14" s="795"/>
      <c r="L14" s="670" t="s">
        <v>508</v>
      </c>
      <c r="M14" s="349" t="s">
        <v>664</v>
      </c>
      <c r="N14" s="350" t="s">
        <v>640</v>
      </c>
      <c r="O14" s="335" t="s">
        <v>651</v>
      </c>
      <c r="P14" s="351">
        <v>3000</v>
      </c>
    </row>
    <row r="15" spans="1:18" ht="162.75" hidden="1" customHeight="1" thickBot="1" x14ac:dyDescent="0.3">
      <c r="A15" s="352"/>
      <c r="B15" s="353"/>
      <c r="C15" s="789"/>
      <c r="D15" s="790"/>
      <c r="E15" s="700"/>
      <c r="F15" s="792"/>
      <c r="G15" s="794"/>
      <c r="H15" s="794"/>
      <c r="I15" s="794"/>
      <c r="J15" s="784"/>
      <c r="K15" s="796"/>
      <c r="L15" s="672"/>
      <c r="M15" s="354" t="s">
        <v>665</v>
      </c>
      <c r="N15" s="355" t="s">
        <v>640</v>
      </c>
      <c r="O15" s="356" t="s">
        <v>651</v>
      </c>
      <c r="P15" s="357">
        <v>13000</v>
      </c>
    </row>
    <row r="16" spans="1:18" ht="72" hidden="1" thickBot="1" x14ac:dyDescent="0.3">
      <c r="A16" s="358"/>
      <c r="B16" s="359"/>
      <c r="C16" s="787" t="s">
        <v>666</v>
      </c>
      <c r="D16" s="788"/>
      <c r="E16" s="699" t="s">
        <v>667</v>
      </c>
      <c r="F16" s="791" t="s">
        <v>638</v>
      </c>
      <c r="G16" s="692" t="s">
        <v>638</v>
      </c>
      <c r="H16" s="793"/>
      <c r="I16" s="793"/>
      <c r="J16" s="783"/>
      <c r="K16" s="785"/>
      <c r="L16" s="670" t="s">
        <v>508</v>
      </c>
      <c r="M16" s="354" t="s">
        <v>668</v>
      </c>
      <c r="N16" s="355" t="s">
        <v>640</v>
      </c>
      <c r="O16" s="360" t="s">
        <v>651</v>
      </c>
      <c r="P16" s="351">
        <v>15000</v>
      </c>
    </row>
    <row r="17" spans="1:16" ht="43.5" hidden="1" thickBot="1" x14ac:dyDescent="0.3">
      <c r="A17" s="361"/>
      <c r="B17" s="362"/>
      <c r="C17" s="789"/>
      <c r="D17" s="790"/>
      <c r="E17" s="700"/>
      <c r="F17" s="792"/>
      <c r="G17" s="693"/>
      <c r="H17" s="794"/>
      <c r="I17" s="794"/>
      <c r="J17" s="784"/>
      <c r="K17" s="786"/>
      <c r="L17" s="672"/>
      <c r="M17" s="354" t="s">
        <v>669</v>
      </c>
      <c r="N17" s="355" t="s">
        <v>640</v>
      </c>
      <c r="O17" s="354" t="s">
        <v>651</v>
      </c>
      <c r="P17" s="357">
        <v>15000</v>
      </c>
    </row>
    <row r="18" spans="1:16" ht="100.5" hidden="1" thickBot="1" x14ac:dyDescent="0.3">
      <c r="A18" s="632"/>
      <c r="B18" s="634"/>
      <c r="C18" s="638" t="s">
        <v>670</v>
      </c>
      <c r="D18" s="638"/>
      <c r="E18" s="363" t="s">
        <v>671</v>
      </c>
      <c r="F18" s="332" t="s">
        <v>638</v>
      </c>
      <c r="G18" s="332" t="s">
        <v>638</v>
      </c>
      <c r="H18" s="333"/>
      <c r="I18" s="333"/>
      <c r="J18" s="334"/>
      <c r="K18" s="364"/>
      <c r="L18" s="354" t="s">
        <v>672</v>
      </c>
      <c r="M18" s="354" t="s">
        <v>673</v>
      </c>
      <c r="N18" s="365" t="s">
        <v>640</v>
      </c>
      <c r="O18" s="354" t="s">
        <v>641</v>
      </c>
      <c r="P18" s="357">
        <v>2000</v>
      </c>
    </row>
    <row r="19" spans="1:16" ht="29.25" thickBot="1" x14ac:dyDescent="0.3">
      <c r="A19" s="341"/>
      <c r="B19" s="342"/>
      <c r="C19" s="366"/>
      <c r="D19" s="366"/>
      <c r="E19" s="367"/>
      <c r="F19" s="333"/>
      <c r="G19" s="333"/>
      <c r="H19" s="333"/>
      <c r="I19" s="333"/>
      <c r="J19" s="334"/>
      <c r="K19" s="364"/>
      <c r="L19" s="368" t="s">
        <v>509</v>
      </c>
      <c r="M19" s="368" t="s">
        <v>674</v>
      </c>
      <c r="N19" s="369" t="s">
        <v>640</v>
      </c>
      <c r="O19" s="368"/>
      <c r="P19" s="370">
        <v>3000</v>
      </c>
    </row>
    <row r="20" spans="1:16" ht="33.75" hidden="1" thickBot="1" x14ac:dyDescent="0.3">
      <c r="A20" s="632"/>
      <c r="B20" s="634"/>
      <c r="C20" s="633"/>
      <c r="D20" s="634"/>
      <c r="E20" s="371" t="s">
        <v>675</v>
      </c>
      <c r="F20" s="333"/>
      <c r="G20" s="332" t="s">
        <v>638</v>
      </c>
      <c r="H20" s="333"/>
      <c r="I20" s="333"/>
      <c r="J20" s="334"/>
      <c r="K20" s="364"/>
      <c r="L20" s="372" t="s">
        <v>508</v>
      </c>
      <c r="M20" s="373" t="s">
        <v>676</v>
      </c>
      <c r="N20" s="374" t="s">
        <v>640</v>
      </c>
      <c r="O20" s="375" t="s">
        <v>641</v>
      </c>
      <c r="P20" s="376">
        <v>6500</v>
      </c>
    </row>
    <row r="21" spans="1:16" ht="29.25" thickBot="1" x14ac:dyDescent="0.3">
      <c r="A21" s="341"/>
      <c r="B21" s="342"/>
      <c r="D21" s="342"/>
      <c r="E21" s="345"/>
      <c r="F21" s="333"/>
      <c r="G21" s="332"/>
      <c r="H21" s="333"/>
      <c r="I21" s="333"/>
      <c r="J21" s="334"/>
      <c r="K21" s="364"/>
      <c r="L21" s="333" t="s">
        <v>509</v>
      </c>
      <c r="M21" s="334" t="s">
        <v>677</v>
      </c>
      <c r="N21" s="364" t="s">
        <v>640</v>
      </c>
      <c r="O21" s="377"/>
      <c r="P21" s="348">
        <v>1000</v>
      </c>
    </row>
    <row r="22" spans="1:16" ht="72" hidden="1" thickBot="1" x14ac:dyDescent="0.3">
      <c r="A22" s="632"/>
      <c r="B22" s="634"/>
      <c r="C22" s="742" t="s">
        <v>678</v>
      </c>
      <c r="D22" s="647"/>
      <c r="E22" s="331" t="s">
        <v>679</v>
      </c>
      <c r="F22" s="333"/>
      <c r="G22" s="332" t="s">
        <v>638</v>
      </c>
      <c r="H22" s="333"/>
      <c r="I22" s="333"/>
      <c r="J22" s="334"/>
      <c r="K22" s="334"/>
      <c r="L22" s="378" t="s">
        <v>508</v>
      </c>
      <c r="M22" s="335" t="s">
        <v>680</v>
      </c>
      <c r="N22" s="379" t="s">
        <v>640</v>
      </c>
      <c r="O22" s="375" t="s">
        <v>641</v>
      </c>
      <c r="P22" s="337">
        <v>13500</v>
      </c>
    </row>
    <row r="23" spans="1:16" ht="79.5" customHeight="1" thickBot="1" x14ac:dyDescent="0.3">
      <c r="A23" s="632"/>
      <c r="B23" s="634"/>
      <c r="C23" s="780"/>
      <c r="D23" s="659"/>
      <c r="E23" s="339" t="s">
        <v>681</v>
      </c>
      <c r="F23" s="333"/>
      <c r="G23" s="380" t="s">
        <v>638</v>
      </c>
      <c r="H23" s="333"/>
      <c r="I23" s="333"/>
      <c r="J23" s="334"/>
      <c r="K23" s="334"/>
      <c r="L23" s="334" t="s">
        <v>509</v>
      </c>
      <c r="M23" s="334" t="s">
        <v>682</v>
      </c>
      <c r="N23" s="347" t="s">
        <v>640</v>
      </c>
      <c r="O23" s="334"/>
      <c r="P23" s="348">
        <v>2000</v>
      </c>
    </row>
    <row r="24" spans="1:16" ht="134.25" hidden="1" customHeight="1" thickBot="1" x14ac:dyDescent="0.3">
      <c r="A24" s="632"/>
      <c r="B24" s="634"/>
      <c r="C24" s="781" t="s">
        <v>683</v>
      </c>
      <c r="D24" s="782"/>
      <c r="E24" s="662" t="s">
        <v>684</v>
      </c>
      <c r="F24" s="629"/>
      <c r="G24" s="617" t="s">
        <v>638</v>
      </c>
      <c r="H24" s="617" t="s">
        <v>638</v>
      </c>
      <c r="I24" s="622"/>
      <c r="J24" s="622"/>
      <c r="K24" s="622"/>
      <c r="L24" s="618" t="s">
        <v>508</v>
      </c>
      <c r="M24" s="619" t="s">
        <v>685</v>
      </c>
      <c r="N24" s="642" t="s">
        <v>640</v>
      </c>
      <c r="O24" s="611" t="s">
        <v>651</v>
      </c>
      <c r="P24" s="612">
        <v>9000</v>
      </c>
    </row>
    <row r="25" spans="1:16" hidden="1" x14ac:dyDescent="0.25">
      <c r="A25" s="632"/>
      <c r="B25" s="634"/>
      <c r="C25" s="600"/>
      <c r="D25" s="599"/>
      <c r="E25" s="663"/>
      <c r="F25" s="779"/>
      <c r="G25" s="692"/>
      <c r="H25" s="692"/>
      <c r="I25" s="774"/>
      <c r="J25" s="774"/>
      <c r="K25" s="774"/>
      <c r="L25" s="775"/>
      <c r="M25" s="694"/>
      <c r="N25" s="776"/>
      <c r="O25" s="777"/>
      <c r="P25" s="778"/>
    </row>
    <row r="26" spans="1:16" ht="29.25" thickBot="1" x14ac:dyDescent="0.3">
      <c r="A26" s="341"/>
      <c r="B26" s="342"/>
      <c r="E26" s="367"/>
      <c r="F26" s="381"/>
      <c r="G26" s="382"/>
      <c r="H26" s="382"/>
      <c r="I26" s="383"/>
      <c r="J26" s="383"/>
      <c r="K26" s="383"/>
      <c r="L26" s="384" t="s">
        <v>509</v>
      </c>
      <c r="M26" s="385" t="s">
        <v>677</v>
      </c>
      <c r="N26" s="386" t="s">
        <v>640</v>
      </c>
      <c r="O26" s="383"/>
      <c r="P26" s="387">
        <v>1000</v>
      </c>
    </row>
    <row r="27" spans="1:16" ht="41.25" hidden="1" thickBot="1" x14ac:dyDescent="0.3">
      <c r="A27" s="658"/>
      <c r="B27" s="659"/>
      <c r="C27" s="769" t="s">
        <v>657</v>
      </c>
      <c r="D27" s="770"/>
      <c r="E27" s="339" t="s">
        <v>686</v>
      </c>
      <c r="F27" s="377"/>
      <c r="G27" s="388" t="s">
        <v>638</v>
      </c>
      <c r="H27" s="388" t="s">
        <v>638</v>
      </c>
      <c r="I27" s="389"/>
      <c r="J27" s="346"/>
      <c r="K27" s="346"/>
      <c r="L27" s="349" t="s">
        <v>508</v>
      </c>
      <c r="M27" s="349" t="s">
        <v>687</v>
      </c>
      <c r="N27" s="350" t="s">
        <v>640</v>
      </c>
      <c r="O27" s="349" t="s">
        <v>651</v>
      </c>
      <c r="P27" s="351">
        <v>4000</v>
      </c>
    </row>
    <row r="28" spans="1:16" ht="159.75" customHeight="1" x14ac:dyDescent="0.25">
      <c r="A28" s="771" t="s">
        <v>688</v>
      </c>
      <c r="B28" s="772"/>
      <c r="C28" s="773" t="s">
        <v>689</v>
      </c>
      <c r="D28" s="765"/>
      <c r="E28" s="765" t="s">
        <v>690</v>
      </c>
      <c r="F28" s="758"/>
      <c r="G28" s="767" t="s">
        <v>638</v>
      </c>
      <c r="H28" s="758"/>
      <c r="I28" s="758"/>
      <c r="J28" s="758"/>
      <c r="K28" s="758"/>
      <c r="L28" s="759" t="s">
        <v>509</v>
      </c>
      <c r="M28" s="761" t="s">
        <v>691</v>
      </c>
      <c r="N28" s="761" t="s">
        <v>640</v>
      </c>
      <c r="O28" s="758"/>
      <c r="P28" s="763">
        <v>1000</v>
      </c>
    </row>
    <row r="29" spans="1:16" hidden="1" x14ac:dyDescent="0.25">
      <c r="A29" s="751" t="s">
        <v>692</v>
      </c>
      <c r="B29" s="752"/>
      <c r="C29" s="753"/>
      <c r="D29" s="745"/>
      <c r="E29" s="766"/>
      <c r="F29" s="745"/>
      <c r="G29" s="768"/>
      <c r="H29" s="745"/>
      <c r="I29" s="745"/>
      <c r="J29" s="745"/>
      <c r="K29" s="745"/>
      <c r="L29" s="760"/>
      <c r="M29" s="762"/>
      <c r="N29" s="762"/>
      <c r="O29" s="745"/>
      <c r="P29" s="764"/>
    </row>
    <row r="30" spans="1:16" ht="57" x14ac:dyDescent="0.25">
      <c r="A30" s="751" t="s">
        <v>693</v>
      </c>
      <c r="B30" s="752"/>
      <c r="C30" s="754" t="s">
        <v>694</v>
      </c>
      <c r="D30" s="755"/>
      <c r="E30" s="390" t="s">
        <v>695</v>
      </c>
      <c r="F30" s="384"/>
      <c r="G30" s="391" t="s">
        <v>638</v>
      </c>
      <c r="H30" s="384"/>
      <c r="I30" s="384"/>
      <c r="J30" s="384"/>
      <c r="K30" s="384"/>
      <c r="L30" s="384" t="s">
        <v>509</v>
      </c>
      <c r="M30" s="384" t="s">
        <v>696</v>
      </c>
      <c r="N30" s="385" t="s">
        <v>640</v>
      </c>
      <c r="O30" s="384"/>
      <c r="P30" s="392">
        <v>3000</v>
      </c>
    </row>
    <row r="31" spans="1:16" ht="28.5" hidden="1" x14ac:dyDescent="0.25">
      <c r="A31" s="751" t="s">
        <v>697</v>
      </c>
      <c r="B31" s="752"/>
      <c r="C31" s="756" t="s">
        <v>424</v>
      </c>
      <c r="D31" s="757"/>
      <c r="E31" s="390" t="s">
        <v>698</v>
      </c>
      <c r="F31" s="384"/>
      <c r="G31" s="391" t="s">
        <v>638</v>
      </c>
      <c r="H31" s="384"/>
      <c r="I31" s="384"/>
      <c r="J31" s="384"/>
      <c r="K31" s="384"/>
      <c r="L31" s="393" t="s">
        <v>508</v>
      </c>
      <c r="M31" s="393" t="s">
        <v>699</v>
      </c>
      <c r="N31" s="394" t="s">
        <v>640</v>
      </c>
      <c r="O31" s="393" t="s">
        <v>651</v>
      </c>
      <c r="P31" s="395">
        <v>57000</v>
      </c>
    </row>
    <row r="32" spans="1:16" ht="93.75" hidden="1" customHeight="1" x14ac:dyDescent="0.25">
      <c r="A32" s="751" t="s">
        <v>661</v>
      </c>
      <c r="B32" s="752"/>
      <c r="C32" s="638" t="s">
        <v>700</v>
      </c>
      <c r="D32" s="639"/>
      <c r="E32" s="748" t="s">
        <v>701</v>
      </c>
      <c r="F32" s="745"/>
      <c r="G32" s="745"/>
      <c r="H32" s="743" t="s">
        <v>638</v>
      </c>
      <c r="I32" s="743" t="s">
        <v>638</v>
      </c>
      <c r="J32" s="749" t="s">
        <v>638</v>
      </c>
      <c r="K32" s="749" t="s">
        <v>638</v>
      </c>
      <c r="L32" s="746" t="s">
        <v>508</v>
      </c>
      <c r="M32" s="738" t="s">
        <v>702</v>
      </c>
      <c r="N32" s="750" t="s">
        <v>640</v>
      </c>
      <c r="O32" s="740" t="s">
        <v>651</v>
      </c>
      <c r="P32" s="741">
        <v>10000</v>
      </c>
    </row>
    <row r="33" spans="1:18" hidden="1" x14ac:dyDescent="0.25">
      <c r="A33" s="632"/>
      <c r="B33" s="634"/>
      <c r="C33" s="633"/>
      <c r="D33" s="634"/>
      <c r="E33" s="748"/>
      <c r="F33" s="745"/>
      <c r="G33" s="745"/>
      <c r="H33" s="743"/>
      <c r="I33" s="743"/>
      <c r="J33" s="749"/>
      <c r="K33" s="749"/>
      <c r="L33" s="746"/>
      <c r="M33" s="738"/>
      <c r="N33" s="750"/>
      <c r="O33" s="740"/>
      <c r="P33" s="741"/>
    </row>
    <row r="34" spans="1:18" ht="28.5" hidden="1" x14ac:dyDescent="0.25">
      <c r="A34" s="632"/>
      <c r="B34" s="634"/>
      <c r="C34" s="640" t="s">
        <v>653</v>
      </c>
      <c r="D34" s="641"/>
      <c r="E34" s="396" t="s">
        <v>703</v>
      </c>
      <c r="F34" s="384"/>
      <c r="G34" s="384"/>
      <c r="H34" s="391" t="s">
        <v>638</v>
      </c>
      <c r="I34" s="391" t="s">
        <v>638</v>
      </c>
      <c r="J34" s="397" t="s">
        <v>638</v>
      </c>
      <c r="K34" s="397" t="s">
        <v>638</v>
      </c>
      <c r="L34" s="393" t="s">
        <v>508</v>
      </c>
      <c r="M34" s="393" t="s">
        <v>699</v>
      </c>
      <c r="N34" s="394" t="s">
        <v>640</v>
      </c>
      <c r="O34" s="393" t="s">
        <v>651</v>
      </c>
      <c r="P34" s="395">
        <v>100000</v>
      </c>
    </row>
    <row r="35" spans="1:18" ht="54" hidden="1" x14ac:dyDescent="0.25">
      <c r="A35" s="632"/>
      <c r="B35" s="634"/>
      <c r="C35" s="742" t="s">
        <v>694</v>
      </c>
      <c r="D35" s="647"/>
      <c r="E35" s="340" t="s">
        <v>704</v>
      </c>
      <c r="F35" s="398"/>
      <c r="G35" s="384"/>
      <c r="H35" s="391" t="s">
        <v>638</v>
      </c>
      <c r="I35" s="391" t="s">
        <v>638</v>
      </c>
      <c r="J35" s="397" t="s">
        <v>638</v>
      </c>
      <c r="K35" s="397" t="s">
        <v>638</v>
      </c>
      <c r="L35" s="393" t="s">
        <v>508</v>
      </c>
      <c r="M35" s="393" t="s">
        <v>699</v>
      </c>
      <c r="N35" s="394" t="s">
        <v>640</v>
      </c>
      <c r="O35" s="393" t="s">
        <v>651</v>
      </c>
      <c r="P35" s="395">
        <v>55000</v>
      </c>
    </row>
    <row r="36" spans="1:18" ht="57.75" thickBot="1" x14ac:dyDescent="0.3">
      <c r="A36" s="341"/>
      <c r="B36" s="342"/>
      <c r="C36" s="343"/>
      <c r="D36" s="344"/>
      <c r="E36" s="345"/>
      <c r="F36" s="398"/>
      <c r="G36" s="384"/>
      <c r="H36" s="385"/>
      <c r="I36" s="385"/>
      <c r="J36" s="384"/>
      <c r="K36" s="384"/>
      <c r="L36" s="384" t="s">
        <v>509</v>
      </c>
      <c r="M36" s="384" t="s">
        <v>705</v>
      </c>
      <c r="N36" s="385"/>
      <c r="O36" s="384"/>
      <c r="P36" s="392">
        <v>8000</v>
      </c>
    </row>
    <row r="37" spans="1:18" ht="69" hidden="1" customHeight="1" x14ac:dyDescent="0.25">
      <c r="A37" s="632"/>
      <c r="B37" s="634"/>
      <c r="C37" s="638" t="s">
        <v>706</v>
      </c>
      <c r="D37" s="639"/>
      <c r="E37" s="747" t="s">
        <v>707</v>
      </c>
      <c r="F37" s="745"/>
      <c r="G37" s="743" t="s">
        <v>638</v>
      </c>
      <c r="H37" s="744"/>
      <c r="I37" s="745"/>
      <c r="J37" s="745"/>
      <c r="K37" s="745"/>
      <c r="L37" s="746" t="s">
        <v>508</v>
      </c>
      <c r="M37" s="738" t="s">
        <v>699</v>
      </c>
      <c r="N37" s="739" t="s">
        <v>640</v>
      </c>
      <c r="O37" s="740" t="s">
        <v>651</v>
      </c>
      <c r="P37" s="741">
        <v>10000</v>
      </c>
    </row>
    <row r="38" spans="1:18" hidden="1" x14ac:dyDescent="0.25">
      <c r="A38" s="632"/>
      <c r="B38" s="634"/>
      <c r="C38" s="633"/>
      <c r="D38" s="634"/>
      <c r="E38" s="748"/>
      <c r="F38" s="745"/>
      <c r="G38" s="743"/>
      <c r="H38" s="744"/>
      <c r="I38" s="745"/>
      <c r="J38" s="745"/>
      <c r="K38" s="745"/>
      <c r="L38" s="746"/>
      <c r="M38" s="738"/>
      <c r="N38" s="739"/>
      <c r="O38" s="740"/>
      <c r="P38" s="741"/>
    </row>
    <row r="39" spans="1:18" hidden="1" x14ac:dyDescent="0.25">
      <c r="A39" s="632"/>
      <c r="B39" s="634"/>
      <c r="C39" s="742" t="s">
        <v>678</v>
      </c>
      <c r="D39" s="647"/>
      <c r="E39" s="748"/>
      <c r="F39" s="745"/>
      <c r="G39" s="743"/>
      <c r="H39" s="744"/>
      <c r="I39" s="745"/>
      <c r="J39" s="745"/>
      <c r="K39" s="745"/>
      <c r="L39" s="746"/>
      <c r="M39" s="738"/>
      <c r="N39" s="739"/>
      <c r="O39" s="740"/>
      <c r="P39" s="741"/>
    </row>
    <row r="40" spans="1:18" ht="28.5" hidden="1" x14ac:dyDescent="0.25">
      <c r="A40" s="632"/>
      <c r="B40" s="634"/>
      <c r="C40" s="633"/>
      <c r="D40" s="634"/>
      <c r="E40" s="399" t="s">
        <v>708</v>
      </c>
      <c r="F40" s="384"/>
      <c r="G40" s="384"/>
      <c r="H40" s="391" t="s">
        <v>638</v>
      </c>
      <c r="I40" s="391" t="s">
        <v>638</v>
      </c>
      <c r="J40" s="397" t="s">
        <v>638</v>
      </c>
      <c r="K40" s="397" t="s">
        <v>638</v>
      </c>
      <c r="L40" s="393" t="s">
        <v>508</v>
      </c>
      <c r="M40" s="393" t="s">
        <v>699</v>
      </c>
      <c r="N40" s="394" t="s">
        <v>640</v>
      </c>
      <c r="O40" s="393" t="s">
        <v>651</v>
      </c>
      <c r="P40" s="395">
        <v>10000</v>
      </c>
    </row>
    <row r="41" spans="1:18" ht="57.75" thickBot="1" x14ac:dyDescent="0.3">
      <c r="A41" s="361"/>
      <c r="B41" s="362"/>
      <c r="C41" s="400"/>
      <c r="D41" s="362"/>
      <c r="E41" s="401"/>
      <c r="F41" s="402"/>
      <c r="G41" s="402"/>
      <c r="H41" s="403"/>
      <c r="I41" s="403"/>
      <c r="J41" s="402"/>
      <c r="K41" s="402"/>
      <c r="L41" s="402" t="s">
        <v>509</v>
      </c>
      <c r="M41" s="402" t="s">
        <v>709</v>
      </c>
      <c r="N41" s="403"/>
      <c r="O41" s="402"/>
      <c r="P41" s="404">
        <v>1000</v>
      </c>
    </row>
    <row r="42" spans="1:18" ht="15.75" hidden="1" customHeight="1" thickBot="1" x14ac:dyDescent="0.3">
      <c r="A42" s="733" t="s">
        <v>710</v>
      </c>
      <c r="B42" s="734"/>
      <c r="C42" s="734"/>
      <c r="D42" s="734"/>
      <c r="E42" s="735"/>
      <c r="F42" s="735"/>
      <c r="G42" s="735"/>
      <c r="H42" s="735"/>
      <c r="I42" s="735"/>
      <c r="J42" s="735"/>
      <c r="K42" s="735"/>
      <c r="L42" s="735"/>
      <c r="M42" s="735"/>
      <c r="N42" s="735"/>
      <c r="O42" s="736"/>
      <c r="P42" s="405">
        <f>SUM(P45:P76)</f>
        <v>236000</v>
      </c>
    </row>
    <row r="43" spans="1:18" ht="15.75" hidden="1" customHeight="1" thickBot="1" x14ac:dyDescent="0.3">
      <c r="A43" s="324"/>
      <c r="B43" s="325"/>
      <c r="C43" s="325"/>
      <c r="D43" s="325"/>
      <c r="E43" s="325"/>
      <c r="F43" s="325"/>
      <c r="G43" s="325"/>
      <c r="H43" s="325"/>
      <c r="I43" s="325"/>
      <c r="J43" s="325"/>
      <c r="K43" s="325"/>
      <c r="L43" s="325"/>
      <c r="M43" s="325"/>
      <c r="N43" s="325"/>
      <c r="O43" s="326" t="s">
        <v>508</v>
      </c>
      <c r="P43" s="327">
        <f>SUM(P45,P47,P48,P50,P53,P54:P55,P57,P58,P60,P61)</f>
        <v>85000</v>
      </c>
      <c r="R43" s="323"/>
    </row>
    <row r="44" spans="1:18" ht="15.75" hidden="1" customHeight="1" thickBot="1" x14ac:dyDescent="0.3">
      <c r="A44" s="328"/>
      <c r="B44" s="328"/>
      <c r="C44" s="328"/>
      <c r="D44" s="328"/>
      <c r="E44" s="328"/>
      <c r="F44" s="328"/>
      <c r="G44" s="328"/>
      <c r="H44" s="328"/>
      <c r="I44" s="328"/>
      <c r="J44" s="328"/>
      <c r="K44" s="328"/>
      <c r="L44" s="328"/>
      <c r="M44" s="328"/>
      <c r="N44" s="328"/>
      <c r="O44" s="329" t="s">
        <v>509</v>
      </c>
      <c r="P44" s="330">
        <f>SUM(P49,P52,P56,P59,P62,P64,P65,P67,P70,P71,P72,P76)</f>
        <v>151000</v>
      </c>
      <c r="R44" s="323"/>
    </row>
    <row r="45" spans="1:18" ht="146.25" hidden="1" customHeight="1" thickBot="1" x14ac:dyDescent="0.3">
      <c r="A45" s="724" t="s">
        <v>711</v>
      </c>
      <c r="B45" s="725"/>
      <c r="C45" s="655" t="s">
        <v>712</v>
      </c>
      <c r="D45" s="639"/>
      <c r="E45" s="656" t="s">
        <v>713</v>
      </c>
      <c r="F45" s="717" t="s">
        <v>638</v>
      </c>
      <c r="G45" s="737"/>
      <c r="H45" s="622"/>
      <c r="I45" s="622"/>
      <c r="J45" s="622"/>
      <c r="K45" s="622"/>
      <c r="L45" s="618" t="s">
        <v>508</v>
      </c>
      <c r="M45" s="643" t="s">
        <v>714</v>
      </c>
      <c r="N45" s="642" t="s">
        <v>640</v>
      </c>
      <c r="O45" s="611" t="s">
        <v>651</v>
      </c>
      <c r="P45" s="612">
        <v>1000</v>
      </c>
    </row>
    <row r="46" spans="1:18" ht="15.75" hidden="1" thickBot="1" x14ac:dyDescent="0.3">
      <c r="A46" s="599"/>
      <c r="B46" s="633"/>
      <c r="C46" s="632"/>
      <c r="D46" s="634"/>
      <c r="E46" s="656"/>
      <c r="F46" s="717"/>
      <c r="G46" s="737"/>
      <c r="H46" s="622"/>
      <c r="I46" s="622"/>
      <c r="J46" s="622"/>
      <c r="K46" s="622"/>
      <c r="L46" s="618"/>
      <c r="M46" s="643"/>
      <c r="N46" s="642"/>
      <c r="O46" s="611"/>
      <c r="P46" s="612"/>
    </row>
    <row r="47" spans="1:18" ht="41.25" hidden="1" thickBot="1" x14ac:dyDescent="0.3">
      <c r="A47" s="721" t="s">
        <v>692</v>
      </c>
      <c r="B47" s="723"/>
      <c r="C47" s="646" t="s">
        <v>694</v>
      </c>
      <c r="D47" s="647"/>
      <c r="E47" s="339" t="s">
        <v>715</v>
      </c>
      <c r="F47" s="406" t="s">
        <v>638</v>
      </c>
      <c r="G47" s="406" t="s">
        <v>638</v>
      </c>
      <c r="H47" s="347"/>
      <c r="I47" s="347"/>
      <c r="J47" s="334"/>
      <c r="K47" s="334"/>
      <c r="L47" s="335" t="s">
        <v>508</v>
      </c>
      <c r="M47" s="335" t="s">
        <v>714</v>
      </c>
      <c r="N47" s="336" t="s">
        <v>640</v>
      </c>
      <c r="O47" s="335" t="s">
        <v>651</v>
      </c>
      <c r="P47" s="337">
        <v>25000</v>
      </c>
    </row>
    <row r="48" spans="1:18" ht="29.25" hidden="1" thickBot="1" x14ac:dyDescent="0.3">
      <c r="A48" s="721" t="s">
        <v>693</v>
      </c>
      <c r="B48" s="723"/>
      <c r="C48" s="726" t="s">
        <v>424</v>
      </c>
      <c r="D48" s="640"/>
      <c r="E48" s="363" t="s">
        <v>716</v>
      </c>
      <c r="F48" s="347"/>
      <c r="G48" s="406" t="s">
        <v>638</v>
      </c>
      <c r="H48" s="347"/>
      <c r="I48" s="347"/>
      <c r="J48" s="334"/>
      <c r="K48" s="334"/>
      <c r="L48" s="335" t="s">
        <v>508</v>
      </c>
      <c r="M48" s="335" t="s">
        <v>714</v>
      </c>
      <c r="N48" s="336" t="s">
        <v>640</v>
      </c>
      <c r="O48" s="335" t="s">
        <v>651</v>
      </c>
      <c r="P48" s="337">
        <v>12000</v>
      </c>
    </row>
    <row r="49" spans="1:16" ht="29.25" thickBot="1" x14ac:dyDescent="0.3">
      <c r="A49" s="407"/>
      <c r="B49" s="408"/>
      <c r="C49" s="409"/>
      <c r="D49" s="366"/>
      <c r="E49" s="410"/>
      <c r="F49" s="347"/>
      <c r="G49" s="347"/>
      <c r="H49" s="347"/>
      <c r="I49" s="347"/>
      <c r="J49" s="334"/>
      <c r="K49" s="334"/>
      <c r="L49" s="334" t="s">
        <v>509</v>
      </c>
      <c r="M49" s="334" t="s">
        <v>677</v>
      </c>
      <c r="N49" s="347"/>
      <c r="O49" s="334"/>
      <c r="P49" s="348">
        <v>1000</v>
      </c>
    </row>
    <row r="50" spans="1:16" ht="107.25" hidden="1" customHeight="1" thickBot="1" x14ac:dyDescent="0.3">
      <c r="A50" s="721" t="s">
        <v>697</v>
      </c>
      <c r="B50" s="723"/>
      <c r="C50" s="655" t="s">
        <v>717</v>
      </c>
      <c r="D50" s="638"/>
      <c r="E50" s="662" t="s">
        <v>718</v>
      </c>
      <c r="F50" s="732"/>
      <c r="G50" s="717" t="s">
        <v>638</v>
      </c>
      <c r="H50" s="622"/>
      <c r="I50" s="622"/>
      <c r="J50" s="622"/>
      <c r="K50" s="622"/>
      <c r="L50" s="618" t="s">
        <v>508</v>
      </c>
      <c r="M50" s="643" t="s">
        <v>714</v>
      </c>
      <c r="N50" s="642" t="s">
        <v>640</v>
      </c>
      <c r="O50" s="611" t="s">
        <v>651</v>
      </c>
      <c r="P50" s="612">
        <v>1000</v>
      </c>
    </row>
    <row r="51" spans="1:16" ht="15.75" hidden="1" customHeight="1" thickBot="1" x14ac:dyDescent="0.3">
      <c r="A51" s="721" t="s">
        <v>661</v>
      </c>
      <c r="B51" s="723"/>
      <c r="C51" s="632"/>
      <c r="D51" s="633"/>
      <c r="E51" s="663"/>
      <c r="F51" s="732"/>
      <c r="G51" s="717"/>
      <c r="H51" s="622"/>
      <c r="I51" s="622"/>
      <c r="J51" s="622"/>
      <c r="K51" s="622"/>
      <c r="L51" s="618"/>
      <c r="M51" s="643"/>
      <c r="N51" s="642"/>
      <c r="O51" s="611"/>
      <c r="P51" s="612"/>
    </row>
    <row r="52" spans="1:16" ht="72" thickBot="1" x14ac:dyDescent="0.3">
      <c r="A52" s="407"/>
      <c r="B52" s="408"/>
      <c r="C52" s="341"/>
      <c r="E52" s="367"/>
      <c r="F52" s="411"/>
      <c r="G52" s="347"/>
      <c r="H52" s="412"/>
      <c r="I52" s="412"/>
      <c r="J52" s="412"/>
      <c r="K52" s="412"/>
      <c r="L52" s="334" t="s">
        <v>509</v>
      </c>
      <c r="M52" s="334" t="s">
        <v>719</v>
      </c>
      <c r="N52" s="347" t="s">
        <v>640</v>
      </c>
      <c r="O52" s="334"/>
      <c r="P52" s="348">
        <v>3000</v>
      </c>
    </row>
    <row r="53" spans="1:16" ht="29.25" hidden="1" thickBot="1" x14ac:dyDescent="0.3">
      <c r="A53" s="599"/>
      <c r="B53" s="633"/>
      <c r="C53" s="646" t="s">
        <v>694</v>
      </c>
      <c r="D53" s="647"/>
      <c r="E53" s="339" t="s">
        <v>720</v>
      </c>
      <c r="F53" s="413"/>
      <c r="G53" s="406" t="s">
        <v>638</v>
      </c>
      <c r="H53" s="347"/>
      <c r="I53" s="347"/>
      <c r="J53" s="334"/>
      <c r="K53" s="334"/>
      <c r="L53" s="335" t="s">
        <v>508</v>
      </c>
      <c r="M53" s="335" t="s">
        <v>721</v>
      </c>
      <c r="N53" s="336" t="s">
        <v>640</v>
      </c>
      <c r="O53" s="335" t="s">
        <v>651</v>
      </c>
      <c r="P53" s="337">
        <v>3000</v>
      </c>
    </row>
    <row r="54" spans="1:16" ht="150.75" hidden="1" customHeight="1" thickBot="1" x14ac:dyDescent="0.3">
      <c r="A54" s="603"/>
      <c r="B54" s="727"/>
      <c r="C54" s="728" t="s">
        <v>424</v>
      </c>
      <c r="D54" s="729"/>
      <c r="E54" s="699" t="s">
        <v>722</v>
      </c>
      <c r="F54" s="701"/>
      <c r="G54" s="705" t="s">
        <v>638</v>
      </c>
      <c r="H54" s="705" t="s">
        <v>638</v>
      </c>
      <c r="I54" s="682"/>
      <c r="J54" s="682"/>
      <c r="K54" s="682"/>
      <c r="L54" s="619" t="s">
        <v>508</v>
      </c>
      <c r="M54" s="335" t="s">
        <v>723</v>
      </c>
      <c r="N54" s="619" t="s">
        <v>640</v>
      </c>
      <c r="O54" s="335" t="s">
        <v>651</v>
      </c>
      <c r="P54" s="337">
        <v>15000</v>
      </c>
    </row>
    <row r="55" spans="1:16" ht="43.5" hidden="1" thickBot="1" x14ac:dyDescent="0.3">
      <c r="A55" s="414"/>
      <c r="C55" s="730"/>
      <c r="D55" s="731"/>
      <c r="E55" s="700"/>
      <c r="F55" s="702"/>
      <c r="G55" s="706"/>
      <c r="H55" s="706"/>
      <c r="I55" s="683"/>
      <c r="J55" s="683"/>
      <c r="K55" s="683"/>
      <c r="L55" s="620"/>
      <c r="M55" s="335" t="s">
        <v>724</v>
      </c>
      <c r="N55" s="620"/>
      <c r="O55" s="335" t="s">
        <v>651</v>
      </c>
      <c r="P55" s="337">
        <v>15000</v>
      </c>
    </row>
    <row r="56" spans="1:16" ht="81.75" customHeight="1" thickBot="1" x14ac:dyDescent="0.3">
      <c r="A56" s="724" t="s">
        <v>725</v>
      </c>
      <c r="B56" s="725"/>
      <c r="C56" s="726" t="s">
        <v>726</v>
      </c>
      <c r="D56" s="640"/>
      <c r="E56" s="363" t="s">
        <v>727</v>
      </c>
      <c r="F56" s="406" t="s">
        <v>638</v>
      </c>
      <c r="G56" s="406" t="s">
        <v>638</v>
      </c>
      <c r="H56" s="334"/>
      <c r="I56" s="334"/>
      <c r="J56" s="334"/>
      <c r="K56" s="334"/>
      <c r="L56" s="334" t="s">
        <v>728</v>
      </c>
      <c r="M56" s="334" t="s">
        <v>729</v>
      </c>
      <c r="N56" s="347" t="s">
        <v>640</v>
      </c>
      <c r="O56" s="334"/>
      <c r="P56" s="348">
        <v>3000</v>
      </c>
    </row>
    <row r="57" spans="1:16" ht="81.75" hidden="1" customHeight="1" thickBot="1" x14ac:dyDescent="0.3">
      <c r="A57" s="415"/>
      <c r="B57" s="416"/>
      <c r="C57" s="409"/>
      <c r="D57" s="366"/>
      <c r="E57" s="367"/>
      <c r="F57" s="347"/>
      <c r="G57" s="347"/>
      <c r="H57" s="334"/>
      <c r="I57" s="334"/>
      <c r="J57" s="334"/>
      <c r="K57" s="334"/>
      <c r="L57" s="417" t="s">
        <v>508</v>
      </c>
      <c r="M57" s="417" t="s">
        <v>714</v>
      </c>
      <c r="N57" s="418" t="s">
        <v>640</v>
      </c>
      <c r="O57" s="417" t="s">
        <v>651</v>
      </c>
      <c r="P57" s="419">
        <v>1500</v>
      </c>
    </row>
    <row r="58" spans="1:16" ht="41.25" hidden="1" thickBot="1" x14ac:dyDescent="0.3">
      <c r="A58" s="721" t="s">
        <v>692</v>
      </c>
      <c r="B58" s="723"/>
      <c r="C58" s="646" t="s">
        <v>694</v>
      </c>
      <c r="D58" s="647"/>
      <c r="E58" s="339" t="s">
        <v>730</v>
      </c>
      <c r="F58" s="347"/>
      <c r="G58" s="406" t="s">
        <v>638</v>
      </c>
      <c r="H58" s="334"/>
      <c r="I58" s="334"/>
      <c r="J58" s="334"/>
      <c r="K58" s="334"/>
      <c r="L58" s="417" t="s">
        <v>508</v>
      </c>
      <c r="M58" s="417" t="s">
        <v>714</v>
      </c>
      <c r="N58" s="418" t="s">
        <v>640</v>
      </c>
      <c r="O58" s="417" t="s">
        <v>651</v>
      </c>
      <c r="P58" s="419">
        <v>5000</v>
      </c>
    </row>
    <row r="59" spans="1:16" ht="29.25" thickBot="1" x14ac:dyDescent="0.3">
      <c r="A59" s="721" t="s">
        <v>693</v>
      </c>
      <c r="B59" s="723"/>
      <c r="C59" s="632"/>
      <c r="D59" s="633"/>
      <c r="E59" s="363" t="s">
        <v>731</v>
      </c>
      <c r="F59" s="347"/>
      <c r="G59" s="406" t="s">
        <v>638</v>
      </c>
      <c r="H59" s="334"/>
      <c r="I59" s="334"/>
      <c r="J59" s="334"/>
      <c r="K59" s="334"/>
      <c r="L59" s="334" t="s">
        <v>509</v>
      </c>
      <c r="M59" s="334" t="s">
        <v>729</v>
      </c>
      <c r="N59" s="347" t="s">
        <v>640</v>
      </c>
      <c r="O59" s="334"/>
      <c r="P59" s="348">
        <v>2000</v>
      </c>
    </row>
    <row r="60" spans="1:16" ht="29.25" hidden="1" thickBot="1" x14ac:dyDescent="0.3">
      <c r="A60" s="407"/>
      <c r="B60" s="408"/>
      <c r="C60" s="341"/>
      <c r="E60" s="367"/>
      <c r="F60" s="347"/>
      <c r="G60" s="347"/>
      <c r="H60" s="334"/>
      <c r="I60" s="334"/>
      <c r="J60" s="334"/>
      <c r="K60" s="334"/>
      <c r="L60" s="417" t="s">
        <v>508</v>
      </c>
      <c r="M60" s="417" t="s">
        <v>714</v>
      </c>
      <c r="N60" s="418" t="s">
        <v>640</v>
      </c>
      <c r="O60" s="417" t="s">
        <v>651</v>
      </c>
      <c r="P60" s="419">
        <v>1500</v>
      </c>
    </row>
    <row r="61" spans="1:16" ht="29.25" hidden="1" thickBot="1" x14ac:dyDescent="0.3">
      <c r="A61" s="721" t="s">
        <v>697</v>
      </c>
      <c r="B61" s="723"/>
      <c r="C61" s="658"/>
      <c r="D61" s="659"/>
      <c r="E61" s="331" t="s">
        <v>732</v>
      </c>
      <c r="F61" s="347"/>
      <c r="G61" s="406" t="s">
        <v>638</v>
      </c>
      <c r="H61" s="334"/>
      <c r="I61" s="334"/>
      <c r="J61" s="334"/>
      <c r="K61" s="334"/>
      <c r="L61" s="417" t="s">
        <v>508</v>
      </c>
      <c r="M61" s="417" t="s">
        <v>714</v>
      </c>
      <c r="N61" s="418" t="s">
        <v>640</v>
      </c>
      <c r="O61" s="417" t="s">
        <v>651</v>
      </c>
      <c r="P61" s="419">
        <v>5000</v>
      </c>
    </row>
    <row r="62" spans="1:16" ht="45.6" customHeight="1" thickBot="1" x14ac:dyDescent="0.3">
      <c r="A62" s="721" t="s">
        <v>661</v>
      </c>
      <c r="B62" s="722"/>
      <c r="C62" s="615" t="s">
        <v>733</v>
      </c>
      <c r="D62" s="615"/>
      <c r="E62" s="601" t="s">
        <v>734</v>
      </c>
      <c r="F62" s="622"/>
      <c r="G62" s="717" t="s">
        <v>638</v>
      </c>
      <c r="H62" s="622"/>
      <c r="I62" s="622"/>
      <c r="J62" s="622"/>
      <c r="K62" s="622"/>
      <c r="L62" s="707" t="s">
        <v>509</v>
      </c>
      <c r="M62" s="682" t="s">
        <v>735</v>
      </c>
      <c r="N62" s="682" t="s">
        <v>640</v>
      </c>
      <c r="O62" s="622"/>
      <c r="P62" s="719">
        <v>1500</v>
      </c>
    </row>
    <row r="63" spans="1:16" ht="15.75" hidden="1" thickBot="1" x14ac:dyDescent="0.3">
      <c r="A63" s="599"/>
      <c r="B63" s="600"/>
      <c r="C63" s="623"/>
      <c r="D63" s="623"/>
      <c r="E63" s="601"/>
      <c r="F63" s="622"/>
      <c r="G63" s="717"/>
      <c r="H63" s="622"/>
      <c r="I63" s="622"/>
      <c r="J63" s="622"/>
      <c r="K63" s="622"/>
      <c r="L63" s="707"/>
      <c r="M63" s="683"/>
      <c r="N63" s="683"/>
      <c r="O63" s="622"/>
      <c r="P63" s="719"/>
    </row>
    <row r="64" spans="1:16" ht="49.15" customHeight="1" thickBot="1" x14ac:dyDescent="0.3">
      <c r="A64" s="599"/>
      <c r="B64" s="600"/>
      <c r="C64" s="718" t="s">
        <v>694</v>
      </c>
      <c r="D64" s="718"/>
      <c r="E64" s="331" t="s">
        <v>736</v>
      </c>
      <c r="F64" s="347"/>
      <c r="G64" s="406" t="s">
        <v>638</v>
      </c>
      <c r="H64" s="347"/>
      <c r="I64" s="347"/>
      <c r="J64" s="334"/>
      <c r="K64" s="334"/>
      <c r="L64" s="334" t="s">
        <v>509</v>
      </c>
      <c r="M64" s="334" t="s">
        <v>737</v>
      </c>
      <c r="N64" s="347" t="s">
        <v>640</v>
      </c>
      <c r="O64" s="334"/>
      <c r="P64" s="348">
        <v>5000</v>
      </c>
    </row>
    <row r="65" spans="1:18" ht="30.6" customHeight="1" thickBot="1" x14ac:dyDescent="0.3">
      <c r="A65" s="599"/>
      <c r="B65" s="600"/>
      <c r="C65" s="623"/>
      <c r="D65" s="623"/>
      <c r="E65" s="601" t="s">
        <v>738</v>
      </c>
      <c r="F65" s="622"/>
      <c r="G65" s="717" t="s">
        <v>638</v>
      </c>
      <c r="H65" s="622"/>
      <c r="I65" s="622"/>
      <c r="J65" s="622"/>
      <c r="K65" s="622"/>
      <c r="L65" s="707" t="s">
        <v>509</v>
      </c>
      <c r="M65" s="682" t="s">
        <v>739</v>
      </c>
      <c r="N65" s="720" t="s">
        <v>640</v>
      </c>
      <c r="O65" s="622"/>
      <c r="P65" s="719">
        <v>37500</v>
      </c>
    </row>
    <row r="66" spans="1:18" ht="15.75" hidden="1" thickBot="1" x14ac:dyDescent="0.3">
      <c r="A66" s="599"/>
      <c r="B66" s="600"/>
      <c r="C66" s="616"/>
      <c r="D66" s="616"/>
      <c r="E66" s="601"/>
      <c r="F66" s="622"/>
      <c r="G66" s="717"/>
      <c r="H66" s="622"/>
      <c r="I66" s="622"/>
      <c r="J66" s="622"/>
      <c r="K66" s="622"/>
      <c r="L66" s="707"/>
      <c r="M66" s="683"/>
      <c r="N66" s="720"/>
      <c r="O66" s="622"/>
      <c r="P66" s="719"/>
    </row>
    <row r="67" spans="1:18" ht="60" customHeight="1" thickBot="1" x14ac:dyDescent="0.3">
      <c r="A67" s="599"/>
      <c r="B67" s="600"/>
      <c r="C67" s="602" t="s">
        <v>740</v>
      </c>
      <c r="D67" s="602"/>
      <c r="E67" s="601" t="s">
        <v>741</v>
      </c>
      <c r="F67" s="622"/>
      <c r="G67" s="622"/>
      <c r="H67" s="717" t="s">
        <v>638</v>
      </c>
      <c r="I67" s="717" t="s">
        <v>638</v>
      </c>
      <c r="J67" s="622"/>
      <c r="K67" s="622"/>
      <c r="L67" s="707" t="s">
        <v>509</v>
      </c>
      <c r="M67" s="682" t="s">
        <v>739</v>
      </c>
      <c r="N67" s="720" t="s">
        <v>640</v>
      </c>
      <c r="O67" s="622"/>
      <c r="P67" s="719">
        <v>20000</v>
      </c>
    </row>
    <row r="68" spans="1:18" ht="15.75" hidden="1" thickBot="1" x14ac:dyDescent="0.3">
      <c r="A68" s="599"/>
      <c r="B68" s="600"/>
      <c r="C68" s="623"/>
      <c r="D68" s="623"/>
      <c r="E68" s="601"/>
      <c r="F68" s="622"/>
      <c r="G68" s="622"/>
      <c r="H68" s="717"/>
      <c r="I68" s="717"/>
      <c r="J68" s="622"/>
      <c r="K68" s="622"/>
      <c r="L68" s="707"/>
      <c r="M68" s="708"/>
      <c r="N68" s="720"/>
      <c r="O68" s="622"/>
      <c r="P68" s="719"/>
    </row>
    <row r="69" spans="1:18" ht="15.75" hidden="1" thickBot="1" x14ac:dyDescent="0.3">
      <c r="A69" s="599"/>
      <c r="B69" s="600"/>
      <c r="C69" s="718" t="s">
        <v>694</v>
      </c>
      <c r="D69" s="718"/>
      <c r="E69" s="601"/>
      <c r="F69" s="622"/>
      <c r="G69" s="622"/>
      <c r="H69" s="717"/>
      <c r="I69" s="717"/>
      <c r="J69" s="622"/>
      <c r="K69" s="622"/>
      <c r="L69" s="707"/>
      <c r="M69" s="683"/>
      <c r="N69" s="720"/>
      <c r="O69" s="622"/>
      <c r="P69" s="719"/>
    </row>
    <row r="70" spans="1:18" ht="82.9" customHeight="1" thickBot="1" x14ac:dyDescent="0.3">
      <c r="A70" s="599"/>
      <c r="B70" s="600"/>
      <c r="C70" s="623"/>
      <c r="D70" s="623"/>
      <c r="E70" s="331" t="s">
        <v>742</v>
      </c>
      <c r="F70" s="334"/>
      <c r="G70" s="334"/>
      <c r="H70" s="406" t="s">
        <v>638</v>
      </c>
      <c r="I70" s="406" t="s">
        <v>638</v>
      </c>
      <c r="J70" s="420" t="s">
        <v>638</v>
      </c>
      <c r="K70" s="420" t="s">
        <v>638</v>
      </c>
      <c r="L70" s="334" t="s">
        <v>509</v>
      </c>
      <c r="M70" s="334" t="s">
        <v>739</v>
      </c>
      <c r="N70" s="347" t="s">
        <v>640</v>
      </c>
      <c r="O70" s="334"/>
      <c r="P70" s="348">
        <v>55000</v>
      </c>
    </row>
    <row r="71" spans="1:18" ht="45" customHeight="1" thickBot="1" x14ac:dyDescent="0.3">
      <c r="A71" s="599"/>
      <c r="B71" s="600"/>
      <c r="C71" s="616"/>
      <c r="D71" s="616"/>
      <c r="E71" s="331" t="s">
        <v>743</v>
      </c>
      <c r="F71" s="334"/>
      <c r="G71" s="334"/>
      <c r="H71" s="406" t="s">
        <v>638</v>
      </c>
      <c r="I71" s="406" t="s">
        <v>638</v>
      </c>
      <c r="J71" s="420" t="s">
        <v>638</v>
      </c>
      <c r="K71" s="420" t="s">
        <v>638</v>
      </c>
      <c r="L71" s="334" t="s">
        <v>509</v>
      </c>
      <c r="M71" s="334" t="s">
        <v>744</v>
      </c>
      <c r="N71" s="347" t="s">
        <v>640</v>
      </c>
      <c r="O71" s="334"/>
      <c r="P71" s="348">
        <v>13000</v>
      </c>
    </row>
    <row r="72" spans="1:18" ht="94.15" customHeight="1" thickBot="1" x14ac:dyDescent="0.3">
      <c r="A72" s="599"/>
      <c r="B72" s="600"/>
      <c r="C72" s="602" t="s">
        <v>745</v>
      </c>
      <c r="D72" s="602"/>
      <c r="E72" s="601" t="s">
        <v>746</v>
      </c>
      <c r="F72" s="622"/>
      <c r="G72" s="622"/>
      <c r="H72" s="648" t="s">
        <v>638</v>
      </c>
      <c r="I72" s="717" t="s">
        <v>638</v>
      </c>
      <c r="J72" s="648" t="s">
        <v>638</v>
      </c>
      <c r="K72" s="648" t="s">
        <v>638</v>
      </c>
      <c r="L72" s="707" t="s">
        <v>509</v>
      </c>
      <c r="M72" s="682" t="s">
        <v>747</v>
      </c>
      <c r="N72" s="720" t="s">
        <v>640</v>
      </c>
      <c r="O72" s="622"/>
      <c r="P72" s="719">
        <v>5000</v>
      </c>
    </row>
    <row r="73" spans="1:18" ht="15.75" hidden="1" thickBot="1" x14ac:dyDescent="0.3">
      <c r="A73" s="599"/>
      <c r="B73" s="600"/>
      <c r="C73" s="623"/>
      <c r="D73" s="623"/>
      <c r="E73" s="601"/>
      <c r="F73" s="622"/>
      <c r="G73" s="622"/>
      <c r="H73" s="648"/>
      <c r="I73" s="717"/>
      <c r="J73" s="648"/>
      <c r="K73" s="648"/>
      <c r="L73" s="707"/>
      <c r="M73" s="708"/>
      <c r="N73" s="720"/>
      <c r="O73" s="622"/>
      <c r="P73" s="719"/>
    </row>
    <row r="74" spans="1:18" ht="15.75" hidden="1" thickBot="1" x14ac:dyDescent="0.3">
      <c r="A74" s="599"/>
      <c r="B74" s="600"/>
      <c r="C74" s="718" t="s">
        <v>694</v>
      </c>
      <c r="D74" s="718"/>
      <c r="E74" s="601"/>
      <c r="F74" s="622"/>
      <c r="G74" s="622"/>
      <c r="H74" s="648"/>
      <c r="I74" s="717"/>
      <c r="J74" s="648"/>
      <c r="K74" s="648"/>
      <c r="L74" s="707"/>
      <c r="M74" s="708"/>
      <c r="N74" s="720"/>
      <c r="O74" s="622"/>
      <c r="P74" s="719"/>
    </row>
    <row r="75" spans="1:18" ht="15.75" hidden="1" thickBot="1" x14ac:dyDescent="0.3">
      <c r="A75" s="599"/>
      <c r="B75" s="600"/>
      <c r="C75" s="623"/>
      <c r="D75" s="623"/>
      <c r="E75" s="601"/>
      <c r="F75" s="622"/>
      <c r="G75" s="622"/>
      <c r="H75" s="648"/>
      <c r="I75" s="717"/>
      <c r="J75" s="648"/>
      <c r="K75" s="648"/>
      <c r="L75" s="707"/>
      <c r="M75" s="683"/>
      <c r="N75" s="720"/>
      <c r="O75" s="622"/>
      <c r="P75" s="719"/>
    </row>
    <row r="76" spans="1:18" ht="90.6" customHeight="1" thickBot="1" x14ac:dyDescent="0.3">
      <c r="A76" s="603"/>
      <c r="B76" s="604"/>
      <c r="C76" s="616"/>
      <c r="D76" s="616"/>
      <c r="E76" s="331" t="s">
        <v>748</v>
      </c>
      <c r="F76" s="334"/>
      <c r="G76" s="334"/>
      <c r="H76" s="420" t="s">
        <v>638</v>
      </c>
      <c r="I76" s="406" t="s">
        <v>638</v>
      </c>
      <c r="J76" s="420" t="s">
        <v>638</v>
      </c>
      <c r="K76" s="420" t="s">
        <v>638</v>
      </c>
      <c r="L76" s="334" t="s">
        <v>509</v>
      </c>
      <c r="M76" s="334" t="s">
        <v>747</v>
      </c>
      <c r="N76" s="347" t="s">
        <v>640</v>
      </c>
      <c r="O76" s="334"/>
      <c r="P76" s="348">
        <v>5000</v>
      </c>
    </row>
    <row r="77" spans="1:18" ht="17.25" hidden="1" thickBot="1" x14ac:dyDescent="0.3">
      <c r="A77" s="709" t="s">
        <v>749</v>
      </c>
      <c r="B77" s="710"/>
      <c r="C77" s="710"/>
      <c r="D77" s="710"/>
      <c r="E77" s="710"/>
      <c r="F77" s="710"/>
      <c r="G77" s="710"/>
      <c r="H77" s="710"/>
      <c r="I77" s="710"/>
      <c r="J77" s="710"/>
      <c r="K77" s="710"/>
      <c r="L77" s="710"/>
      <c r="M77" s="710"/>
      <c r="N77" s="710"/>
      <c r="O77" s="711"/>
      <c r="P77" s="421">
        <f>SUM(P80:P118)</f>
        <v>424369</v>
      </c>
    </row>
    <row r="78" spans="1:18" ht="15.75" hidden="1" customHeight="1" thickBot="1" x14ac:dyDescent="0.3">
      <c r="A78" s="324"/>
      <c r="B78" s="325"/>
      <c r="C78" s="325"/>
      <c r="D78" s="325"/>
      <c r="E78" s="325"/>
      <c r="F78" s="325"/>
      <c r="G78" s="325"/>
      <c r="H78" s="325"/>
      <c r="I78" s="325"/>
      <c r="J78" s="325"/>
      <c r="K78" s="325"/>
      <c r="L78" s="325"/>
      <c r="M78" s="325"/>
      <c r="N78" s="325"/>
      <c r="O78" s="326" t="s">
        <v>508</v>
      </c>
      <c r="P78" s="327">
        <f>SUM(P80,P83,P84:P85,P87:P90,P91:P92,P94,P97,P99,P103,P104,P107,P108,P109,P112,P114,P115,P116)</f>
        <v>408369</v>
      </c>
      <c r="R78" s="323"/>
    </row>
    <row r="79" spans="1:18" ht="15.75" hidden="1" customHeight="1" thickBot="1" x14ac:dyDescent="0.3">
      <c r="A79" s="328"/>
      <c r="B79" s="328"/>
      <c r="C79" s="328"/>
      <c r="D79" s="328"/>
      <c r="E79" s="328"/>
      <c r="F79" s="328"/>
      <c r="G79" s="328"/>
      <c r="H79" s="328"/>
      <c r="I79" s="328"/>
      <c r="J79" s="328"/>
      <c r="K79" s="328"/>
      <c r="L79" s="328"/>
      <c r="M79" s="328"/>
      <c r="N79" s="328"/>
      <c r="O79" s="329" t="s">
        <v>509</v>
      </c>
      <c r="P79" s="330">
        <f>SUM(P82,P86,P93,P98,P102,P106,P113,P118)</f>
        <v>16000</v>
      </c>
      <c r="R79" s="323"/>
    </row>
    <row r="80" spans="1:18" ht="59.45" hidden="1" customHeight="1" thickBot="1" x14ac:dyDescent="0.3">
      <c r="A80" s="712" t="s">
        <v>750</v>
      </c>
      <c r="B80" s="713"/>
      <c r="C80" s="680" t="s">
        <v>751</v>
      </c>
      <c r="D80" s="681"/>
      <c r="E80" s="639" t="s">
        <v>752</v>
      </c>
      <c r="F80" s="629"/>
      <c r="G80" s="648" t="s">
        <v>638</v>
      </c>
      <c r="H80" s="716"/>
      <c r="I80" s="622"/>
      <c r="J80" s="622"/>
      <c r="K80" s="622"/>
      <c r="L80" s="618" t="s">
        <v>508</v>
      </c>
      <c r="M80" s="643" t="s">
        <v>753</v>
      </c>
      <c r="N80" s="642" t="s">
        <v>640</v>
      </c>
      <c r="O80" s="611" t="s">
        <v>641</v>
      </c>
      <c r="P80" s="612">
        <v>5500</v>
      </c>
    </row>
    <row r="81" spans="1:16" ht="15.75" hidden="1" thickBot="1" x14ac:dyDescent="0.3">
      <c r="A81" s="714"/>
      <c r="B81" s="715"/>
      <c r="C81" s="651"/>
      <c r="D81" s="652"/>
      <c r="E81" s="641"/>
      <c r="F81" s="629"/>
      <c r="G81" s="648"/>
      <c r="H81" s="716"/>
      <c r="I81" s="622"/>
      <c r="J81" s="622"/>
      <c r="K81" s="622"/>
      <c r="L81" s="618"/>
      <c r="M81" s="643"/>
      <c r="N81" s="642"/>
      <c r="O81" s="611"/>
      <c r="P81" s="612"/>
    </row>
    <row r="82" spans="1:16" ht="43.5" thickBot="1" x14ac:dyDescent="0.3">
      <c r="A82" s="714"/>
      <c r="B82" s="715"/>
      <c r="C82" s="341"/>
      <c r="D82" s="342"/>
      <c r="E82" s="345"/>
      <c r="F82" s="412"/>
      <c r="G82" s="334"/>
      <c r="H82" s="412"/>
      <c r="I82" s="412"/>
      <c r="J82" s="412"/>
      <c r="K82" s="412"/>
      <c r="L82" s="422" t="s">
        <v>509</v>
      </c>
      <c r="M82" s="423" t="s">
        <v>754</v>
      </c>
      <c r="N82" s="424" t="s">
        <v>640</v>
      </c>
      <c r="O82" s="425"/>
      <c r="P82" s="426">
        <v>1500</v>
      </c>
    </row>
    <row r="83" spans="1:16" ht="31.9" hidden="1" customHeight="1" thickBot="1" x14ac:dyDescent="0.3">
      <c r="A83" s="714"/>
      <c r="B83" s="715"/>
      <c r="C83" s="649" t="s">
        <v>694</v>
      </c>
      <c r="D83" s="650"/>
      <c r="E83" s="339" t="s">
        <v>755</v>
      </c>
      <c r="F83" s="334"/>
      <c r="G83" s="420" t="s">
        <v>638</v>
      </c>
      <c r="H83" s="427"/>
      <c r="I83" s="334"/>
      <c r="J83" s="334"/>
      <c r="K83" s="334"/>
      <c r="L83" s="335" t="s">
        <v>508</v>
      </c>
      <c r="M83" s="335" t="s">
        <v>753</v>
      </c>
      <c r="N83" s="336" t="s">
        <v>640</v>
      </c>
      <c r="O83" s="335" t="s">
        <v>641</v>
      </c>
      <c r="P83" s="337">
        <v>1500</v>
      </c>
    </row>
    <row r="84" spans="1:16" ht="38.450000000000003" hidden="1" customHeight="1" thickBot="1" x14ac:dyDescent="0.3">
      <c r="A84" s="714"/>
      <c r="B84" s="715"/>
      <c r="C84" s="695"/>
      <c r="D84" s="696"/>
      <c r="E84" s="699" t="s">
        <v>756</v>
      </c>
      <c r="F84" s="701"/>
      <c r="G84" s="703"/>
      <c r="H84" s="705" t="s">
        <v>638</v>
      </c>
      <c r="I84" s="682"/>
      <c r="J84" s="682"/>
      <c r="K84" s="682"/>
      <c r="L84" s="619" t="s">
        <v>508</v>
      </c>
      <c r="M84" s="335" t="s">
        <v>753</v>
      </c>
      <c r="N84" s="619" t="s">
        <v>640</v>
      </c>
      <c r="O84" s="335" t="s">
        <v>641</v>
      </c>
      <c r="P84" s="337">
        <v>17000</v>
      </c>
    </row>
    <row r="85" spans="1:16" ht="28.15" hidden="1" customHeight="1" thickBot="1" x14ac:dyDescent="0.3">
      <c r="A85" s="714"/>
      <c r="B85" s="715"/>
      <c r="C85" s="697"/>
      <c r="D85" s="698"/>
      <c r="E85" s="700"/>
      <c r="F85" s="702"/>
      <c r="G85" s="704"/>
      <c r="H85" s="706"/>
      <c r="I85" s="683"/>
      <c r="J85" s="683"/>
      <c r="K85" s="683"/>
      <c r="L85" s="620"/>
      <c r="M85" s="335" t="s">
        <v>757</v>
      </c>
      <c r="N85" s="620"/>
      <c r="O85" s="417" t="s">
        <v>651</v>
      </c>
      <c r="P85" s="337">
        <v>6000</v>
      </c>
    </row>
    <row r="86" spans="1:16" ht="43.5" thickBot="1" x14ac:dyDescent="0.3">
      <c r="A86" s="714"/>
      <c r="B86" s="715"/>
      <c r="C86" s="341"/>
      <c r="E86" s="367"/>
      <c r="F86" s="334"/>
      <c r="G86" s="427"/>
      <c r="H86" s="334"/>
      <c r="I86" s="334"/>
      <c r="J86" s="334"/>
      <c r="K86" s="334"/>
      <c r="L86" s="334" t="s">
        <v>509</v>
      </c>
      <c r="M86" s="347" t="s">
        <v>754</v>
      </c>
      <c r="N86" s="347"/>
      <c r="O86" s="334"/>
      <c r="P86" s="348">
        <v>1500</v>
      </c>
    </row>
    <row r="87" spans="1:16" ht="49.15" hidden="1" customHeight="1" thickBot="1" x14ac:dyDescent="0.3">
      <c r="A87" s="714"/>
      <c r="B87" s="715"/>
      <c r="C87" s="655" t="s">
        <v>758</v>
      </c>
      <c r="D87" s="639"/>
      <c r="E87" s="684" t="s">
        <v>759</v>
      </c>
      <c r="F87" s="687"/>
      <c r="G87" s="690"/>
      <c r="H87" s="692" t="s">
        <v>638</v>
      </c>
      <c r="I87" s="692" t="s">
        <v>638</v>
      </c>
      <c r="J87" s="692" t="s">
        <v>638</v>
      </c>
      <c r="K87" s="692" t="s">
        <v>638</v>
      </c>
      <c r="L87" s="619" t="s">
        <v>508</v>
      </c>
      <c r="M87" s="643" t="s">
        <v>760</v>
      </c>
      <c r="N87" s="642" t="s">
        <v>640</v>
      </c>
      <c r="O87" s="611" t="s">
        <v>651</v>
      </c>
      <c r="P87" s="612">
        <v>10000</v>
      </c>
    </row>
    <row r="88" spans="1:16" ht="15.75" hidden="1" customHeight="1" thickBot="1" x14ac:dyDescent="0.3">
      <c r="A88" s="714"/>
      <c r="B88" s="715"/>
      <c r="C88" s="632"/>
      <c r="D88" s="634"/>
      <c r="E88" s="685"/>
      <c r="F88" s="688"/>
      <c r="G88" s="678"/>
      <c r="H88" s="665"/>
      <c r="I88" s="665"/>
      <c r="J88" s="665"/>
      <c r="K88" s="665"/>
      <c r="L88" s="694"/>
      <c r="M88" s="643"/>
      <c r="N88" s="642"/>
      <c r="O88" s="611"/>
      <c r="P88" s="612"/>
    </row>
    <row r="89" spans="1:16" ht="15.75" hidden="1" customHeight="1" thickBot="1" x14ac:dyDescent="0.3">
      <c r="A89" s="714"/>
      <c r="B89" s="715"/>
      <c r="C89" s="646" t="s">
        <v>694</v>
      </c>
      <c r="D89" s="647"/>
      <c r="E89" s="685"/>
      <c r="F89" s="688"/>
      <c r="G89" s="678"/>
      <c r="H89" s="665"/>
      <c r="I89" s="665"/>
      <c r="J89" s="665"/>
      <c r="K89" s="665"/>
      <c r="L89" s="694"/>
      <c r="M89" s="643"/>
      <c r="N89" s="642"/>
      <c r="O89" s="611"/>
      <c r="P89" s="612"/>
    </row>
    <row r="90" spans="1:16" ht="24" hidden="1" customHeight="1" thickBot="1" x14ac:dyDescent="0.3">
      <c r="A90" s="714"/>
      <c r="B90" s="715"/>
      <c r="C90" s="428"/>
      <c r="D90" s="343"/>
      <c r="E90" s="686"/>
      <c r="F90" s="689"/>
      <c r="G90" s="691"/>
      <c r="H90" s="693"/>
      <c r="I90" s="693"/>
      <c r="J90" s="693"/>
      <c r="K90" s="693"/>
      <c r="L90" s="620"/>
      <c r="M90" s="336" t="s">
        <v>761</v>
      </c>
      <c r="N90" s="429" t="s">
        <v>640</v>
      </c>
      <c r="O90" s="430" t="s">
        <v>651</v>
      </c>
      <c r="P90" s="337">
        <v>5500</v>
      </c>
    </row>
    <row r="91" spans="1:16" ht="57" hidden="1" customHeight="1" thickBot="1" x14ac:dyDescent="0.3">
      <c r="A91" s="714"/>
      <c r="B91" s="715"/>
      <c r="C91" s="632"/>
      <c r="D91" s="633"/>
      <c r="E91" s="699" t="s">
        <v>762</v>
      </c>
      <c r="F91" s="701"/>
      <c r="G91" s="682"/>
      <c r="H91" s="692" t="s">
        <v>638</v>
      </c>
      <c r="I91" s="692" t="s">
        <v>638</v>
      </c>
      <c r="J91" s="692" t="s">
        <v>638</v>
      </c>
      <c r="K91" s="692" t="s">
        <v>638</v>
      </c>
      <c r="L91" s="619" t="s">
        <v>508</v>
      </c>
      <c r="M91" s="335" t="s">
        <v>763</v>
      </c>
      <c r="N91" s="336" t="s">
        <v>640</v>
      </c>
      <c r="O91" s="335" t="s">
        <v>651</v>
      </c>
      <c r="P91" s="337">
        <v>15000</v>
      </c>
    </row>
    <row r="92" spans="1:16" ht="29.25" hidden="1" thickBot="1" x14ac:dyDescent="0.3">
      <c r="A92" s="714"/>
      <c r="B92" s="715"/>
      <c r="C92" s="341"/>
      <c r="E92" s="700"/>
      <c r="F92" s="702"/>
      <c r="G92" s="683"/>
      <c r="H92" s="693"/>
      <c r="I92" s="693"/>
      <c r="J92" s="693"/>
      <c r="K92" s="693"/>
      <c r="L92" s="620"/>
      <c r="M92" s="335" t="s">
        <v>761</v>
      </c>
      <c r="N92" s="336" t="s">
        <v>640</v>
      </c>
      <c r="O92" s="335" t="s">
        <v>651</v>
      </c>
      <c r="P92" s="337">
        <v>5000</v>
      </c>
    </row>
    <row r="93" spans="1:16" ht="43.5" thickBot="1" x14ac:dyDescent="0.3">
      <c r="A93" s="714"/>
      <c r="B93" s="715"/>
      <c r="C93" s="361"/>
      <c r="D93" s="400"/>
      <c r="E93" s="367"/>
      <c r="F93" s="334"/>
      <c r="G93" s="334"/>
      <c r="H93" s="431"/>
      <c r="I93" s="431"/>
      <c r="J93" s="431"/>
      <c r="K93" s="431"/>
      <c r="L93" s="334" t="s">
        <v>509</v>
      </c>
      <c r="M93" s="347" t="s">
        <v>754</v>
      </c>
      <c r="N93" s="347" t="s">
        <v>640</v>
      </c>
      <c r="O93" s="334"/>
      <c r="P93" s="348">
        <v>1500</v>
      </c>
    </row>
    <row r="94" spans="1:16" ht="117.75" hidden="1" customHeight="1" thickBot="1" x14ac:dyDescent="0.3">
      <c r="A94" s="714"/>
      <c r="B94" s="715"/>
      <c r="C94" s="680" t="s">
        <v>764</v>
      </c>
      <c r="D94" s="681"/>
      <c r="E94" s="635" t="s">
        <v>765</v>
      </c>
      <c r="F94" s="622"/>
      <c r="G94" s="622"/>
      <c r="H94" s="657" t="s">
        <v>638</v>
      </c>
      <c r="I94" s="657" t="s">
        <v>638</v>
      </c>
      <c r="J94" s="657" t="s">
        <v>638</v>
      </c>
      <c r="K94" s="657" t="s">
        <v>638</v>
      </c>
      <c r="L94" s="618" t="s">
        <v>508</v>
      </c>
      <c r="M94" s="643" t="s">
        <v>760</v>
      </c>
      <c r="N94" s="642" t="s">
        <v>640</v>
      </c>
      <c r="O94" s="611" t="s">
        <v>651</v>
      </c>
      <c r="P94" s="612">
        <v>10000</v>
      </c>
    </row>
    <row r="95" spans="1:16" ht="15.75" hidden="1" thickBot="1" x14ac:dyDescent="0.3">
      <c r="A95" s="714"/>
      <c r="B95" s="715"/>
      <c r="C95" s="651"/>
      <c r="D95" s="652"/>
      <c r="E95" s="656"/>
      <c r="F95" s="622"/>
      <c r="G95" s="622"/>
      <c r="H95" s="657"/>
      <c r="I95" s="657"/>
      <c r="J95" s="657"/>
      <c r="K95" s="657"/>
      <c r="L95" s="618"/>
      <c r="M95" s="643"/>
      <c r="N95" s="642"/>
      <c r="O95" s="611"/>
      <c r="P95" s="612"/>
    </row>
    <row r="96" spans="1:16" ht="15.75" hidden="1" thickBot="1" x14ac:dyDescent="0.3">
      <c r="A96" s="714"/>
      <c r="B96" s="715"/>
      <c r="C96" s="649" t="s">
        <v>694</v>
      </c>
      <c r="D96" s="650"/>
      <c r="E96" s="637"/>
      <c r="F96" s="622"/>
      <c r="G96" s="622"/>
      <c r="H96" s="657"/>
      <c r="I96" s="657"/>
      <c r="J96" s="657"/>
      <c r="K96" s="657"/>
      <c r="L96" s="618"/>
      <c r="M96" s="643"/>
      <c r="N96" s="642"/>
      <c r="O96" s="611"/>
      <c r="P96" s="612"/>
    </row>
    <row r="97" spans="1:16" ht="29.25" hidden="1" thickBot="1" x14ac:dyDescent="0.3">
      <c r="A97" s="714"/>
      <c r="B97" s="715"/>
      <c r="C97" s="651"/>
      <c r="D97" s="652"/>
      <c r="E97" s="363" t="s">
        <v>766</v>
      </c>
      <c r="F97" s="334"/>
      <c r="G97" s="334"/>
      <c r="H97" s="432" t="s">
        <v>638</v>
      </c>
      <c r="I97" s="432" t="s">
        <v>638</v>
      </c>
      <c r="J97" s="432" t="s">
        <v>638</v>
      </c>
      <c r="K97" s="432" t="s">
        <v>638</v>
      </c>
      <c r="L97" s="335" t="s">
        <v>508</v>
      </c>
      <c r="M97" s="335" t="s">
        <v>760</v>
      </c>
      <c r="N97" s="336" t="s">
        <v>640</v>
      </c>
      <c r="O97" s="335" t="s">
        <v>651</v>
      </c>
      <c r="P97" s="337">
        <v>7000</v>
      </c>
    </row>
    <row r="98" spans="1:16" ht="43.5" thickBot="1" x14ac:dyDescent="0.3">
      <c r="A98" s="714"/>
      <c r="B98" s="715"/>
      <c r="C98" s="361"/>
      <c r="D98" s="362"/>
      <c r="E98" s="367"/>
      <c r="F98" s="346"/>
      <c r="G98" s="346"/>
      <c r="H98" s="433"/>
      <c r="I98" s="433"/>
      <c r="J98" s="433"/>
      <c r="K98" s="433"/>
      <c r="L98" s="346" t="s">
        <v>509</v>
      </c>
      <c r="M98" s="347" t="s">
        <v>754</v>
      </c>
      <c r="N98" s="347" t="s">
        <v>640</v>
      </c>
      <c r="O98" s="334"/>
      <c r="P98" s="348">
        <v>2000</v>
      </c>
    </row>
    <row r="99" spans="1:16" ht="198.75" hidden="1" customHeight="1" thickBot="1" x14ac:dyDescent="0.3">
      <c r="A99" s="714"/>
      <c r="B99" s="715"/>
      <c r="C99" s="655" t="s">
        <v>767</v>
      </c>
      <c r="D99" s="639"/>
      <c r="E99" s="639" t="s">
        <v>768</v>
      </c>
      <c r="F99" s="674"/>
      <c r="G99" s="677"/>
      <c r="H99" s="664" t="s">
        <v>638</v>
      </c>
      <c r="I99" s="664" t="s">
        <v>638</v>
      </c>
      <c r="J99" s="664" t="s">
        <v>638</v>
      </c>
      <c r="K99" s="667" t="s">
        <v>638</v>
      </c>
      <c r="L99" s="670" t="s">
        <v>508</v>
      </c>
      <c r="M99" s="673" t="s">
        <v>655</v>
      </c>
      <c r="N99" s="642" t="s">
        <v>640</v>
      </c>
      <c r="O99" s="611" t="s">
        <v>656</v>
      </c>
      <c r="P99" s="612">
        <v>4500</v>
      </c>
    </row>
    <row r="100" spans="1:16" ht="15.75" hidden="1" customHeight="1" thickBot="1" x14ac:dyDescent="0.3">
      <c r="A100" s="714"/>
      <c r="B100" s="715"/>
      <c r="C100" s="632"/>
      <c r="D100" s="634"/>
      <c r="E100" s="641"/>
      <c r="F100" s="675"/>
      <c r="G100" s="678"/>
      <c r="H100" s="665"/>
      <c r="I100" s="665"/>
      <c r="J100" s="665"/>
      <c r="K100" s="668"/>
      <c r="L100" s="671"/>
      <c r="M100" s="673"/>
      <c r="N100" s="642"/>
      <c r="O100" s="611"/>
      <c r="P100" s="612"/>
    </row>
    <row r="101" spans="1:16" ht="15.75" hidden="1" customHeight="1" thickBot="1" x14ac:dyDescent="0.3">
      <c r="A101" s="714"/>
      <c r="B101" s="715"/>
      <c r="C101" s="646" t="s">
        <v>694</v>
      </c>
      <c r="D101" s="647"/>
      <c r="E101" s="641"/>
      <c r="F101" s="676"/>
      <c r="G101" s="679"/>
      <c r="H101" s="666"/>
      <c r="I101" s="666"/>
      <c r="J101" s="666"/>
      <c r="K101" s="669"/>
      <c r="L101" s="672"/>
      <c r="M101" s="673"/>
      <c r="N101" s="642"/>
      <c r="O101" s="611"/>
      <c r="P101" s="612"/>
    </row>
    <row r="102" spans="1:16" ht="29.25" thickBot="1" x14ac:dyDescent="0.3">
      <c r="A102" s="714"/>
      <c r="B102" s="715"/>
      <c r="C102" s="428"/>
      <c r="D102" s="344"/>
      <c r="E102" s="345"/>
      <c r="F102" s="412"/>
      <c r="G102" s="412"/>
      <c r="H102" s="431"/>
      <c r="I102" s="431"/>
      <c r="J102" s="431"/>
      <c r="K102" s="431"/>
      <c r="L102" s="334" t="s">
        <v>509</v>
      </c>
      <c r="M102" s="347" t="s">
        <v>769</v>
      </c>
      <c r="N102" s="434" t="s">
        <v>640</v>
      </c>
      <c r="O102" s="412"/>
      <c r="P102" s="348">
        <v>1500</v>
      </c>
    </row>
    <row r="103" spans="1:16" ht="43.5" hidden="1" thickBot="1" x14ac:dyDescent="0.3">
      <c r="A103" s="714"/>
      <c r="B103" s="715"/>
      <c r="C103" s="658"/>
      <c r="D103" s="659"/>
      <c r="E103" s="339" t="s">
        <v>770</v>
      </c>
      <c r="F103" s="334"/>
      <c r="G103" s="334"/>
      <c r="H103" s="432" t="s">
        <v>638</v>
      </c>
      <c r="I103" s="432" t="s">
        <v>638</v>
      </c>
      <c r="J103" s="432" t="s">
        <v>638</v>
      </c>
      <c r="K103" s="432" t="s">
        <v>638</v>
      </c>
      <c r="L103" s="335" t="s">
        <v>508</v>
      </c>
      <c r="M103" s="335" t="s">
        <v>771</v>
      </c>
      <c r="N103" s="336" t="s">
        <v>640</v>
      </c>
      <c r="O103" s="335" t="s">
        <v>651</v>
      </c>
      <c r="P103" s="337">
        <v>4500</v>
      </c>
    </row>
    <row r="104" spans="1:16" ht="92.25" hidden="1" customHeight="1" thickBot="1" x14ac:dyDescent="0.3">
      <c r="A104" s="714"/>
      <c r="B104" s="715"/>
      <c r="C104" s="660" t="s">
        <v>772</v>
      </c>
      <c r="D104" s="661"/>
      <c r="E104" s="662" t="s">
        <v>773</v>
      </c>
      <c r="F104" s="629"/>
      <c r="G104" s="622"/>
      <c r="H104" s="657" t="s">
        <v>638</v>
      </c>
      <c r="I104" s="657" t="s">
        <v>638</v>
      </c>
      <c r="J104" s="657" t="s">
        <v>638</v>
      </c>
      <c r="K104" s="657" t="s">
        <v>638</v>
      </c>
      <c r="L104" s="618" t="s">
        <v>508</v>
      </c>
      <c r="M104" s="643" t="s">
        <v>774</v>
      </c>
      <c r="N104" s="642" t="s">
        <v>640</v>
      </c>
      <c r="O104" s="611" t="s">
        <v>651</v>
      </c>
      <c r="P104" s="612">
        <v>42000</v>
      </c>
    </row>
    <row r="105" spans="1:16" ht="15.75" hidden="1" thickBot="1" x14ac:dyDescent="0.3">
      <c r="A105" s="714"/>
      <c r="B105" s="715"/>
      <c r="C105" s="651"/>
      <c r="D105" s="599"/>
      <c r="E105" s="663"/>
      <c r="F105" s="629"/>
      <c r="G105" s="622"/>
      <c r="H105" s="657"/>
      <c r="I105" s="657"/>
      <c r="J105" s="657"/>
      <c r="K105" s="657"/>
      <c r="L105" s="618"/>
      <c r="M105" s="643"/>
      <c r="N105" s="642"/>
      <c r="O105" s="611"/>
      <c r="P105" s="612"/>
    </row>
    <row r="106" spans="1:16" ht="29.25" thickBot="1" x14ac:dyDescent="0.3">
      <c r="A106" s="714"/>
      <c r="B106" s="715"/>
      <c r="C106" s="341"/>
      <c r="E106" s="367"/>
      <c r="F106" s="412"/>
      <c r="G106" s="412"/>
      <c r="H106" s="431"/>
      <c r="I106" s="431"/>
      <c r="J106" s="431"/>
      <c r="K106" s="431"/>
      <c r="L106" s="334" t="s">
        <v>509</v>
      </c>
      <c r="M106" s="347" t="s">
        <v>769</v>
      </c>
      <c r="N106" s="435" t="s">
        <v>640</v>
      </c>
      <c r="O106" s="412"/>
      <c r="P106" s="348">
        <v>3000</v>
      </c>
    </row>
    <row r="107" spans="1:16" ht="29.25" hidden="1" thickBot="1" x14ac:dyDescent="0.3">
      <c r="A107" s="714"/>
      <c r="B107" s="715"/>
      <c r="C107" s="649" t="s">
        <v>694</v>
      </c>
      <c r="D107" s="650"/>
      <c r="E107" s="331" t="s">
        <v>775</v>
      </c>
      <c r="F107" s="334"/>
      <c r="G107" s="334"/>
      <c r="H107" s="427"/>
      <c r="I107" s="332" t="s">
        <v>638</v>
      </c>
      <c r="J107" s="332" t="s">
        <v>638</v>
      </c>
      <c r="K107" s="332" t="s">
        <v>638</v>
      </c>
      <c r="L107" s="335" t="s">
        <v>508</v>
      </c>
      <c r="M107" s="335" t="s">
        <v>774</v>
      </c>
      <c r="N107" s="336" t="s">
        <v>640</v>
      </c>
      <c r="O107" s="335" t="s">
        <v>651</v>
      </c>
      <c r="P107" s="337">
        <v>12000</v>
      </c>
    </row>
    <row r="108" spans="1:16" ht="54.75" hidden="1" thickBot="1" x14ac:dyDescent="0.3">
      <c r="A108" s="714"/>
      <c r="B108" s="715"/>
      <c r="C108" s="651"/>
      <c r="D108" s="652"/>
      <c r="E108" s="331" t="s">
        <v>776</v>
      </c>
      <c r="F108" s="334"/>
      <c r="G108" s="334"/>
      <c r="H108" s="334"/>
      <c r="I108" s="332" t="s">
        <v>638</v>
      </c>
      <c r="J108" s="332" t="s">
        <v>638</v>
      </c>
      <c r="K108" s="332" t="s">
        <v>638</v>
      </c>
      <c r="L108" s="335" t="s">
        <v>508</v>
      </c>
      <c r="M108" s="335" t="s">
        <v>774</v>
      </c>
      <c r="N108" s="336" t="s">
        <v>640</v>
      </c>
      <c r="O108" s="335" t="s">
        <v>651</v>
      </c>
      <c r="P108" s="337">
        <v>7000</v>
      </c>
    </row>
    <row r="109" spans="1:16" ht="81" hidden="1" customHeight="1" thickBot="1" x14ac:dyDescent="0.3">
      <c r="A109" s="653" t="s">
        <v>596</v>
      </c>
      <c r="B109" s="654"/>
      <c r="C109" s="655" t="s">
        <v>777</v>
      </c>
      <c r="D109" s="639"/>
      <c r="E109" s="656" t="s">
        <v>778</v>
      </c>
      <c r="F109" s="622"/>
      <c r="G109" s="657" t="s">
        <v>638</v>
      </c>
      <c r="H109" s="648" t="s">
        <v>638</v>
      </c>
      <c r="I109" s="622"/>
      <c r="J109" s="622"/>
      <c r="K109" s="622"/>
      <c r="L109" s="618" t="s">
        <v>508</v>
      </c>
      <c r="M109" s="643" t="s">
        <v>779</v>
      </c>
      <c r="N109" s="642" t="s">
        <v>640</v>
      </c>
      <c r="O109" s="611" t="s">
        <v>656</v>
      </c>
      <c r="P109" s="612">
        <v>5000</v>
      </c>
    </row>
    <row r="110" spans="1:16" ht="63.75" hidden="1" customHeight="1" thickBot="1" x14ac:dyDescent="0.3">
      <c r="A110" s="644" t="s">
        <v>540</v>
      </c>
      <c r="B110" s="645"/>
      <c r="C110" s="632"/>
      <c r="D110" s="634"/>
      <c r="E110" s="656"/>
      <c r="F110" s="622"/>
      <c r="G110" s="657"/>
      <c r="H110" s="648"/>
      <c r="I110" s="622"/>
      <c r="J110" s="622"/>
      <c r="K110" s="622"/>
      <c r="L110" s="618"/>
      <c r="M110" s="643"/>
      <c r="N110" s="642"/>
      <c r="O110" s="611"/>
      <c r="P110" s="612"/>
    </row>
    <row r="111" spans="1:16" ht="15.75" hidden="1" thickBot="1" x14ac:dyDescent="0.3">
      <c r="A111" s="632"/>
      <c r="B111" s="633"/>
      <c r="C111" s="646" t="s">
        <v>694</v>
      </c>
      <c r="D111" s="647"/>
      <c r="E111" s="637"/>
      <c r="F111" s="622"/>
      <c r="G111" s="657"/>
      <c r="H111" s="648"/>
      <c r="I111" s="622"/>
      <c r="J111" s="622"/>
      <c r="K111" s="622"/>
      <c r="L111" s="618"/>
      <c r="M111" s="643"/>
      <c r="N111" s="642"/>
      <c r="O111" s="611"/>
      <c r="P111" s="612"/>
    </row>
    <row r="112" spans="1:16" ht="86.25" hidden="1" thickBot="1" x14ac:dyDescent="0.3">
      <c r="A112" s="632"/>
      <c r="B112" s="633"/>
      <c r="C112" s="632"/>
      <c r="D112" s="634"/>
      <c r="E112" s="340" t="s">
        <v>780</v>
      </c>
      <c r="F112" s="334"/>
      <c r="G112" s="334"/>
      <c r="H112" s="334"/>
      <c r="I112" s="432" t="s">
        <v>638</v>
      </c>
      <c r="J112" s="334"/>
      <c r="K112" s="334"/>
      <c r="L112" s="335" t="s">
        <v>508</v>
      </c>
      <c r="M112" s="335" t="s">
        <v>781</v>
      </c>
      <c r="N112" s="336" t="s">
        <v>640</v>
      </c>
      <c r="O112" s="335" t="s">
        <v>651</v>
      </c>
      <c r="P112" s="337">
        <v>47000</v>
      </c>
    </row>
    <row r="113" spans="1:19" ht="57.75" thickBot="1" x14ac:dyDescent="0.3">
      <c r="A113" s="341"/>
      <c r="C113" s="361"/>
      <c r="D113" s="362"/>
      <c r="E113" s="345"/>
      <c r="F113" s="334"/>
      <c r="G113" s="334"/>
      <c r="H113" s="334"/>
      <c r="I113" s="431"/>
      <c r="J113" s="334"/>
      <c r="K113" s="334"/>
      <c r="L113" s="334" t="s">
        <v>509</v>
      </c>
      <c r="M113" s="347" t="s">
        <v>782</v>
      </c>
      <c r="N113" s="347" t="s">
        <v>640</v>
      </c>
      <c r="O113" s="334"/>
      <c r="P113" s="348">
        <v>3000</v>
      </c>
    </row>
    <row r="114" spans="1:19" ht="80.25" hidden="1" customHeight="1" thickBot="1" x14ac:dyDescent="0.3">
      <c r="A114" s="632"/>
      <c r="B114" s="634"/>
      <c r="C114" s="635" t="s">
        <v>783</v>
      </c>
      <c r="D114" s="636"/>
      <c r="E114" s="331" t="s">
        <v>784</v>
      </c>
      <c r="F114" s="334"/>
      <c r="G114" s="334"/>
      <c r="H114" s="334"/>
      <c r="I114" s="332" t="s">
        <v>638</v>
      </c>
      <c r="J114" s="332" t="s">
        <v>638</v>
      </c>
      <c r="K114" s="332" t="s">
        <v>638</v>
      </c>
      <c r="L114" s="335" t="s">
        <v>508</v>
      </c>
      <c r="M114" s="335" t="s">
        <v>785</v>
      </c>
      <c r="N114" s="336" t="s">
        <v>640</v>
      </c>
      <c r="O114" s="335" t="s">
        <v>651</v>
      </c>
      <c r="P114" s="337">
        <v>40000</v>
      </c>
    </row>
    <row r="115" spans="1:19" ht="57.75" hidden="1" thickBot="1" x14ac:dyDescent="0.3">
      <c r="A115" s="632"/>
      <c r="B115" s="634"/>
      <c r="C115" s="637"/>
      <c r="D115" s="602"/>
      <c r="E115" s="331" t="s">
        <v>786</v>
      </c>
      <c r="F115" s="334"/>
      <c r="G115" s="334"/>
      <c r="H115" s="334"/>
      <c r="I115" s="332" t="s">
        <v>638</v>
      </c>
      <c r="J115" s="332" t="s">
        <v>638</v>
      </c>
      <c r="K115" s="332" t="s">
        <v>638</v>
      </c>
      <c r="L115" s="335" t="s">
        <v>508</v>
      </c>
      <c r="M115" s="335" t="s">
        <v>787</v>
      </c>
      <c r="N115" s="336" t="s">
        <v>640</v>
      </c>
      <c r="O115" s="335" t="s">
        <v>651</v>
      </c>
      <c r="P115" s="337">
        <v>150000</v>
      </c>
    </row>
    <row r="116" spans="1:19" ht="65.25" hidden="1" customHeight="1" thickBot="1" x14ac:dyDescent="0.3">
      <c r="A116" s="632"/>
      <c r="B116" s="634"/>
      <c r="C116" s="638" t="s">
        <v>788</v>
      </c>
      <c r="D116" s="639"/>
      <c r="E116" s="629"/>
      <c r="F116" s="622"/>
      <c r="G116" s="622"/>
      <c r="H116" s="622"/>
      <c r="I116" s="617" t="s">
        <v>638</v>
      </c>
      <c r="J116" s="617" t="s">
        <v>638</v>
      </c>
      <c r="K116" s="617" t="s">
        <v>638</v>
      </c>
      <c r="L116" s="618" t="s">
        <v>508</v>
      </c>
      <c r="M116" s="643" t="s">
        <v>785</v>
      </c>
      <c r="N116" s="642" t="s">
        <v>640</v>
      </c>
      <c r="O116" s="611" t="s">
        <v>651</v>
      </c>
      <c r="P116" s="612">
        <v>13869</v>
      </c>
    </row>
    <row r="117" spans="1:19" ht="15.75" hidden="1" thickBot="1" x14ac:dyDescent="0.3">
      <c r="A117" s="632"/>
      <c r="B117" s="634"/>
      <c r="C117" s="640"/>
      <c r="D117" s="641"/>
      <c r="E117" s="629"/>
      <c r="F117" s="622"/>
      <c r="G117" s="622"/>
      <c r="H117" s="622"/>
      <c r="I117" s="617"/>
      <c r="J117" s="617"/>
      <c r="K117" s="617"/>
      <c r="L117" s="618"/>
      <c r="M117" s="643"/>
      <c r="N117" s="642"/>
      <c r="O117" s="611"/>
      <c r="P117" s="612"/>
    </row>
    <row r="118" spans="1:19" ht="43.5" thickBot="1" x14ac:dyDescent="0.3">
      <c r="A118" s="361"/>
      <c r="B118" s="362"/>
      <c r="C118" s="366"/>
      <c r="D118" s="371"/>
      <c r="E118" s="436"/>
      <c r="F118" s="437"/>
      <c r="G118" s="437"/>
      <c r="H118" s="437"/>
      <c r="I118" s="438"/>
      <c r="J118" s="438"/>
      <c r="K118" s="438"/>
      <c r="L118" s="346" t="s">
        <v>509</v>
      </c>
      <c r="M118" s="439" t="s">
        <v>754</v>
      </c>
      <c r="N118" s="440"/>
      <c r="O118" s="441"/>
      <c r="P118" s="348">
        <v>2000</v>
      </c>
    </row>
    <row r="119" spans="1:19" ht="17.25" hidden="1" customHeight="1" thickBot="1" x14ac:dyDescent="0.3">
      <c r="A119" s="630" t="s">
        <v>789</v>
      </c>
      <c r="B119" s="630"/>
      <c r="C119" s="630"/>
      <c r="D119" s="630"/>
      <c r="E119" s="630"/>
      <c r="F119" s="630"/>
      <c r="G119" s="630"/>
      <c r="H119" s="630"/>
      <c r="I119" s="630"/>
      <c r="J119" s="630"/>
      <c r="K119" s="630"/>
      <c r="L119" s="630"/>
      <c r="M119" s="630"/>
      <c r="N119" s="630"/>
      <c r="O119" s="631"/>
      <c r="P119" s="442">
        <f>SUM(P77,P42,P3)</f>
        <v>1041869</v>
      </c>
    </row>
    <row r="120" spans="1:19" ht="15.75" hidden="1" customHeight="1" thickBot="1" x14ac:dyDescent="0.3">
      <c r="A120" s="443"/>
      <c r="B120" s="444"/>
      <c r="C120" s="444"/>
      <c r="D120" s="444"/>
      <c r="E120" s="444"/>
      <c r="F120" s="444"/>
      <c r="G120" s="444"/>
      <c r="H120" s="444"/>
      <c r="I120" s="444"/>
      <c r="J120" s="444"/>
      <c r="K120" s="444"/>
      <c r="L120" s="444"/>
      <c r="M120" s="444"/>
      <c r="N120" s="444"/>
      <c r="O120" s="445" t="s">
        <v>508</v>
      </c>
      <c r="P120" s="327">
        <f>SUM(P78,P43,P4)</f>
        <v>846869</v>
      </c>
      <c r="R120" s="323"/>
    </row>
    <row r="121" spans="1:19" ht="15.75" hidden="1" customHeight="1" thickBot="1" x14ac:dyDescent="0.3">
      <c r="A121" s="446"/>
      <c r="B121" s="447"/>
      <c r="C121" s="447"/>
      <c r="D121" s="447"/>
      <c r="E121" s="447"/>
      <c r="F121" s="447"/>
      <c r="G121" s="447"/>
      <c r="H121" s="447"/>
      <c r="I121" s="447"/>
      <c r="J121" s="447"/>
      <c r="K121" s="447"/>
      <c r="L121" s="447"/>
      <c r="M121" s="447"/>
      <c r="N121" s="447"/>
      <c r="O121" s="448" t="s">
        <v>509</v>
      </c>
      <c r="P121" s="449">
        <f>SUM(P79,P44,P5)</f>
        <v>195000</v>
      </c>
      <c r="R121" s="323"/>
    </row>
    <row r="122" spans="1:19" ht="81.75" hidden="1" customHeight="1" thickBot="1" x14ac:dyDescent="0.3">
      <c r="A122" s="625" t="s">
        <v>790</v>
      </c>
      <c r="B122" s="626"/>
      <c r="C122" s="627" t="s">
        <v>791</v>
      </c>
      <c r="D122" s="627"/>
      <c r="E122" s="628" t="s">
        <v>792</v>
      </c>
      <c r="F122" s="616"/>
      <c r="G122" s="616"/>
      <c r="H122" s="616"/>
      <c r="I122" s="616"/>
      <c r="J122" s="616"/>
      <c r="K122" s="616"/>
      <c r="L122" s="335" t="s">
        <v>508</v>
      </c>
      <c r="M122" s="335"/>
      <c r="N122" s="336" t="s">
        <v>640</v>
      </c>
      <c r="O122" s="335">
        <v>61100</v>
      </c>
      <c r="P122" s="337">
        <v>30000</v>
      </c>
    </row>
    <row r="123" spans="1:19" ht="29.25" thickBot="1" x14ac:dyDescent="0.3">
      <c r="A123" s="450"/>
      <c r="B123" s="451"/>
      <c r="C123" s="452"/>
      <c r="D123" s="453"/>
      <c r="E123" s="624"/>
      <c r="F123" s="622"/>
      <c r="G123" s="622"/>
      <c r="H123" s="622"/>
      <c r="I123" s="622"/>
      <c r="J123" s="622"/>
      <c r="K123" s="622"/>
      <c r="L123" s="334" t="s">
        <v>555</v>
      </c>
      <c r="M123" s="334"/>
      <c r="N123" s="347" t="s">
        <v>640</v>
      </c>
      <c r="O123" s="334"/>
      <c r="P123" s="348">
        <v>45000</v>
      </c>
    </row>
    <row r="124" spans="1:19" ht="68.25" hidden="1" customHeight="1" thickBot="1" x14ac:dyDescent="0.3">
      <c r="A124" s="599"/>
      <c r="B124" s="600"/>
      <c r="C124" s="615" t="s">
        <v>793</v>
      </c>
      <c r="D124" s="615"/>
      <c r="E124" s="624" t="s">
        <v>794</v>
      </c>
      <c r="F124" s="622"/>
      <c r="G124" s="622"/>
      <c r="H124" s="622"/>
      <c r="I124" s="622"/>
      <c r="J124" s="622"/>
      <c r="K124" s="622"/>
      <c r="L124" s="335" t="s">
        <v>508</v>
      </c>
      <c r="M124" s="335"/>
      <c r="N124" s="336" t="s">
        <v>640</v>
      </c>
      <c r="O124" s="335" t="s">
        <v>795</v>
      </c>
      <c r="P124" s="337">
        <v>184626.17</v>
      </c>
      <c r="S124" s="323"/>
    </row>
    <row r="125" spans="1:19" ht="29.25" thickBot="1" x14ac:dyDescent="0.3">
      <c r="A125" s="613" t="s">
        <v>796</v>
      </c>
      <c r="B125" s="614"/>
      <c r="C125" s="623"/>
      <c r="D125" s="623"/>
      <c r="E125" s="624"/>
      <c r="F125" s="622"/>
      <c r="G125" s="622"/>
      <c r="H125" s="622"/>
      <c r="I125" s="622"/>
      <c r="J125" s="622"/>
      <c r="K125" s="622"/>
      <c r="L125" s="334" t="s">
        <v>555</v>
      </c>
      <c r="M125" s="334"/>
      <c r="N125" s="347" t="s">
        <v>640</v>
      </c>
      <c r="O125" s="334"/>
      <c r="P125" s="348">
        <v>25373.83</v>
      </c>
    </row>
    <row r="126" spans="1:19" ht="114.75" hidden="1" customHeight="1" thickBot="1" x14ac:dyDescent="0.3">
      <c r="A126" s="613" t="s">
        <v>797</v>
      </c>
      <c r="B126" s="614"/>
      <c r="C126" s="616"/>
      <c r="D126" s="616"/>
      <c r="E126" s="454"/>
      <c r="F126" s="334"/>
      <c r="G126" s="334"/>
      <c r="H126" s="334"/>
      <c r="I126" s="334"/>
      <c r="J126" s="334"/>
      <c r="K126" s="334"/>
      <c r="L126" s="334"/>
      <c r="M126" s="334"/>
      <c r="N126" s="347"/>
      <c r="O126" s="334"/>
      <c r="P126" s="455"/>
    </row>
    <row r="127" spans="1:19" ht="25.5" hidden="1" customHeight="1" thickBot="1" x14ac:dyDescent="0.3">
      <c r="A127" s="613" t="s">
        <v>798</v>
      </c>
      <c r="B127" s="614"/>
      <c r="C127" s="602" t="s">
        <v>799</v>
      </c>
      <c r="D127" s="602"/>
      <c r="E127" s="601" t="s">
        <v>800</v>
      </c>
      <c r="F127" s="617" t="s">
        <v>638</v>
      </c>
      <c r="G127" s="617" t="s">
        <v>638</v>
      </c>
      <c r="H127" s="617" t="s">
        <v>638</v>
      </c>
      <c r="I127" s="617" t="s">
        <v>638</v>
      </c>
      <c r="J127" s="617" t="s">
        <v>638</v>
      </c>
      <c r="K127" s="617" t="s">
        <v>638</v>
      </c>
      <c r="L127" s="618" t="s">
        <v>508</v>
      </c>
      <c r="M127" s="619"/>
      <c r="N127" s="621" t="s">
        <v>640</v>
      </c>
      <c r="O127" s="611" t="s">
        <v>795</v>
      </c>
      <c r="P127" s="612">
        <v>5000</v>
      </c>
    </row>
    <row r="128" spans="1:19" ht="25.5" hidden="1" customHeight="1" thickBot="1" x14ac:dyDescent="0.3">
      <c r="A128" s="613" t="s">
        <v>801</v>
      </c>
      <c r="B128" s="614"/>
      <c r="C128" s="615" t="s">
        <v>802</v>
      </c>
      <c r="D128" s="615"/>
      <c r="E128" s="601"/>
      <c r="F128" s="617"/>
      <c r="G128" s="617"/>
      <c r="H128" s="617"/>
      <c r="I128" s="617"/>
      <c r="J128" s="617"/>
      <c r="K128" s="617"/>
      <c r="L128" s="618"/>
      <c r="M128" s="620"/>
      <c r="N128" s="621"/>
      <c r="O128" s="611"/>
      <c r="P128" s="612"/>
    </row>
    <row r="129" spans="1:17" ht="43.5" hidden="1" thickBot="1" x14ac:dyDescent="0.3">
      <c r="A129" s="599"/>
      <c r="B129" s="600"/>
      <c r="C129" s="616"/>
      <c r="D129" s="616"/>
      <c r="E129" s="331" t="s">
        <v>803</v>
      </c>
      <c r="F129" s="332" t="s">
        <v>638</v>
      </c>
      <c r="G129" s="334"/>
      <c r="H129" s="432" t="s">
        <v>638</v>
      </c>
      <c r="I129" s="334"/>
      <c r="J129" s="432" t="s">
        <v>638</v>
      </c>
      <c r="K129" s="334"/>
      <c r="L129" s="335" t="s">
        <v>508</v>
      </c>
      <c r="M129" s="335"/>
      <c r="N129" s="336" t="s">
        <v>640</v>
      </c>
      <c r="O129" s="335" t="s">
        <v>795</v>
      </c>
      <c r="P129" s="337">
        <v>20000</v>
      </c>
      <c r="Q129" s="456"/>
    </row>
    <row r="130" spans="1:17" ht="17.25" thickBot="1" x14ac:dyDescent="0.3">
      <c r="A130" s="414"/>
      <c r="B130" s="441"/>
      <c r="C130" s="457"/>
      <c r="D130" s="457"/>
      <c r="E130" s="331"/>
      <c r="F130" s="332" t="s">
        <v>638</v>
      </c>
      <c r="G130" s="334"/>
      <c r="H130" s="432" t="s">
        <v>638</v>
      </c>
      <c r="I130" s="334"/>
      <c r="J130" s="432" t="s">
        <v>638</v>
      </c>
      <c r="K130" s="334"/>
      <c r="L130" s="334" t="s">
        <v>509</v>
      </c>
      <c r="M130" s="334" t="s">
        <v>804</v>
      </c>
      <c r="N130" s="347" t="s">
        <v>640</v>
      </c>
      <c r="O130" s="334"/>
      <c r="P130" s="348">
        <v>15000</v>
      </c>
    </row>
    <row r="131" spans="1:17" ht="43.5" hidden="1" thickBot="1" x14ac:dyDescent="0.3">
      <c r="A131" s="599"/>
      <c r="B131" s="600"/>
      <c r="C131" s="601" t="s">
        <v>805</v>
      </c>
      <c r="D131" s="601"/>
      <c r="E131" s="331" t="s">
        <v>806</v>
      </c>
      <c r="F131" s="334"/>
      <c r="G131" s="334"/>
      <c r="H131" s="334"/>
      <c r="I131" s="334"/>
      <c r="J131" s="432" t="s">
        <v>638</v>
      </c>
      <c r="K131" s="334"/>
      <c r="L131" s="335" t="s">
        <v>508</v>
      </c>
      <c r="M131" s="335"/>
      <c r="N131" s="336" t="s">
        <v>640</v>
      </c>
      <c r="O131" s="335" t="s">
        <v>795</v>
      </c>
      <c r="P131" s="337">
        <v>30000</v>
      </c>
    </row>
    <row r="132" spans="1:17" ht="43.5" hidden="1" thickBot="1" x14ac:dyDescent="0.3">
      <c r="A132" s="603"/>
      <c r="B132" s="604"/>
      <c r="C132" s="602"/>
      <c r="D132" s="602"/>
      <c r="E132" s="339" t="s">
        <v>807</v>
      </c>
      <c r="F132" s="346"/>
      <c r="G132" s="346"/>
      <c r="H132" s="346"/>
      <c r="I132" s="346"/>
      <c r="J132" s="346"/>
      <c r="K132" s="458" t="s">
        <v>638</v>
      </c>
      <c r="L132" s="349" t="s">
        <v>508</v>
      </c>
      <c r="M132" s="349"/>
      <c r="N132" s="350" t="s">
        <v>640</v>
      </c>
      <c r="O132" s="349" t="s">
        <v>795</v>
      </c>
      <c r="P132" s="337">
        <v>5000</v>
      </c>
    </row>
    <row r="133" spans="1:17" ht="15.75" hidden="1" thickBot="1" x14ac:dyDescent="0.3">
      <c r="A133" s="605" t="s">
        <v>600</v>
      </c>
      <c r="B133" s="606"/>
      <c r="C133" s="607"/>
      <c r="D133" s="608"/>
      <c r="E133" s="459"/>
      <c r="F133" s="459"/>
      <c r="G133" s="459"/>
      <c r="H133" s="459"/>
      <c r="I133" s="459"/>
      <c r="J133" s="459"/>
      <c r="K133" s="459"/>
      <c r="L133" s="459"/>
      <c r="M133" s="459"/>
      <c r="N133" s="460"/>
      <c r="O133" s="461"/>
      <c r="P133" s="462">
        <f>SUM(P120:P132)</f>
        <v>1401869</v>
      </c>
    </row>
    <row r="134" spans="1:17" ht="15.75" hidden="1" customHeight="1" thickBot="1" x14ac:dyDescent="0.3">
      <c r="A134" s="609" t="s">
        <v>808</v>
      </c>
      <c r="B134" s="610"/>
      <c r="C134" s="607"/>
      <c r="D134" s="608"/>
      <c r="E134" s="459"/>
      <c r="F134" s="459"/>
      <c r="G134" s="459"/>
      <c r="H134" s="459"/>
      <c r="I134" s="459"/>
      <c r="J134" s="459"/>
      <c r="K134" s="459"/>
      <c r="L134" s="459"/>
      <c r="M134" s="459"/>
      <c r="N134" s="460"/>
      <c r="O134" s="461"/>
      <c r="P134" s="463">
        <f>SUM(P132,P131,P129,P127,P124,P122,P120)</f>
        <v>1121495.17</v>
      </c>
    </row>
    <row r="135" spans="1:17" ht="15.75" hidden="1" customHeight="1" thickBot="1" x14ac:dyDescent="0.3">
      <c r="A135" s="595" t="s">
        <v>809</v>
      </c>
      <c r="B135" s="596"/>
      <c r="C135" s="597"/>
      <c r="D135" s="598"/>
      <c r="E135" s="464"/>
      <c r="F135" s="464"/>
      <c r="G135" s="464"/>
      <c r="H135" s="464"/>
      <c r="I135" s="464"/>
      <c r="J135" s="464"/>
      <c r="K135" s="464"/>
      <c r="L135" s="464"/>
      <c r="M135" s="464"/>
      <c r="N135" s="465"/>
      <c r="O135" s="466"/>
      <c r="P135" s="467">
        <f>SUM(P130,P125,P123,P121)</f>
        <v>280373.83</v>
      </c>
    </row>
  </sheetData>
  <autoFilter ref="A1:P135" xr:uid="{00000000-0009-0000-0000-000002000000}">
    <filterColumn colId="0" showButton="0"/>
    <filterColumn colId="2" showButton="0"/>
    <filterColumn colId="3" showButton="0"/>
    <filterColumn colId="5" showButton="0"/>
    <filterColumn colId="6" showButton="0"/>
    <filterColumn colId="7" showButton="0"/>
    <filterColumn colId="8" showButton="0"/>
    <filterColumn colId="9" showButton="0"/>
    <filterColumn colId="11">
      <filters>
        <filter val="MSIS"/>
        <filter val="MSIS TATAO"/>
      </filters>
    </filterColumn>
    <filterColumn colId="13" showButton="0"/>
    <filterColumn colId="14" showButton="0"/>
  </autoFilter>
  <mergeCells count="461">
    <mergeCell ref="A1:B1"/>
    <mergeCell ref="C1:E1"/>
    <mergeCell ref="F1:K1"/>
    <mergeCell ref="N1:P1"/>
    <mergeCell ref="A2:B2"/>
    <mergeCell ref="C2:E2"/>
    <mergeCell ref="O6:O8"/>
    <mergeCell ref="P6:P8"/>
    <mergeCell ref="A7:B7"/>
    <mergeCell ref="C7:D7"/>
    <mergeCell ref="A8:B8"/>
    <mergeCell ref="C8:D8"/>
    <mergeCell ref="A3:O3"/>
    <mergeCell ref="A6:B6"/>
    <mergeCell ref="C6:D6"/>
    <mergeCell ref="E6:E8"/>
    <mergeCell ref="F6:F8"/>
    <mergeCell ref="G6:G8"/>
    <mergeCell ref="H6:H8"/>
    <mergeCell ref="I6:I8"/>
    <mergeCell ref="J6:J8"/>
    <mergeCell ref="K6:K8"/>
    <mergeCell ref="A9:B9"/>
    <mergeCell ref="C9:D9"/>
    <mergeCell ref="A10:B10"/>
    <mergeCell ref="C10:D10"/>
    <mergeCell ref="A11:B11"/>
    <mergeCell ref="C11:D11"/>
    <mergeCell ref="L6:L8"/>
    <mergeCell ref="M6:M8"/>
    <mergeCell ref="N6:N8"/>
    <mergeCell ref="G14:G15"/>
    <mergeCell ref="H14:H15"/>
    <mergeCell ref="I14:I15"/>
    <mergeCell ref="J14:J15"/>
    <mergeCell ref="K14:K15"/>
    <mergeCell ref="L14:L15"/>
    <mergeCell ref="A12:B12"/>
    <mergeCell ref="C12:D12"/>
    <mergeCell ref="A14:B14"/>
    <mergeCell ref="C14:D15"/>
    <mergeCell ref="E14:E15"/>
    <mergeCell ref="F14:F15"/>
    <mergeCell ref="A22:B22"/>
    <mergeCell ref="C22:D22"/>
    <mergeCell ref="A23:B23"/>
    <mergeCell ref="C23:D23"/>
    <mergeCell ref="A24:B24"/>
    <mergeCell ref="C24:D24"/>
    <mergeCell ref="J16:J17"/>
    <mergeCell ref="K16:K17"/>
    <mergeCell ref="L16:L17"/>
    <mergeCell ref="A18:B18"/>
    <mergeCell ref="C18:D18"/>
    <mergeCell ref="A20:B20"/>
    <mergeCell ref="C20:D20"/>
    <mergeCell ref="C16:D17"/>
    <mergeCell ref="E16:E17"/>
    <mergeCell ref="F16:F17"/>
    <mergeCell ref="G16:G17"/>
    <mergeCell ref="H16:H17"/>
    <mergeCell ref="I16:I17"/>
    <mergeCell ref="N24:N25"/>
    <mergeCell ref="O24:O25"/>
    <mergeCell ref="P24:P25"/>
    <mergeCell ref="E24:E25"/>
    <mergeCell ref="F24:F25"/>
    <mergeCell ref="G24:G25"/>
    <mergeCell ref="H24:H25"/>
    <mergeCell ref="I24:I25"/>
    <mergeCell ref="J24:J25"/>
    <mergeCell ref="A25:B25"/>
    <mergeCell ref="C25:D25"/>
    <mergeCell ref="A27:B27"/>
    <mergeCell ref="C27:D27"/>
    <mergeCell ref="A28:B28"/>
    <mergeCell ref="C28:D28"/>
    <mergeCell ref="K24:K25"/>
    <mergeCell ref="L24:L25"/>
    <mergeCell ref="M24:M25"/>
    <mergeCell ref="N28:N29"/>
    <mergeCell ref="O28:O29"/>
    <mergeCell ref="P28:P29"/>
    <mergeCell ref="E28:E29"/>
    <mergeCell ref="F28:F29"/>
    <mergeCell ref="G28:G29"/>
    <mergeCell ref="H28:H29"/>
    <mergeCell ref="I28:I29"/>
    <mergeCell ref="J28:J29"/>
    <mergeCell ref="A29:B29"/>
    <mergeCell ref="C29:D29"/>
    <mergeCell ref="A30:B30"/>
    <mergeCell ref="C30:D30"/>
    <mergeCell ref="A31:B31"/>
    <mergeCell ref="C31:D31"/>
    <mergeCell ref="K28:K29"/>
    <mergeCell ref="L28:L29"/>
    <mergeCell ref="M28:M29"/>
    <mergeCell ref="A35:B35"/>
    <mergeCell ref="C35:D35"/>
    <mergeCell ref="A37:B37"/>
    <mergeCell ref="C37:D37"/>
    <mergeCell ref="E37:E39"/>
    <mergeCell ref="F37:F39"/>
    <mergeCell ref="O32:O33"/>
    <mergeCell ref="P32:P33"/>
    <mergeCell ref="A33:B33"/>
    <mergeCell ref="C33:D33"/>
    <mergeCell ref="A34:B34"/>
    <mergeCell ref="C34:D34"/>
    <mergeCell ref="I32:I33"/>
    <mergeCell ref="J32:J33"/>
    <mergeCell ref="K32:K33"/>
    <mergeCell ref="L32:L33"/>
    <mergeCell ref="M32:M33"/>
    <mergeCell ref="N32:N33"/>
    <mergeCell ref="A32:B32"/>
    <mergeCell ref="C32:D32"/>
    <mergeCell ref="E32:E33"/>
    <mergeCell ref="F32:F33"/>
    <mergeCell ref="G32:G33"/>
    <mergeCell ref="H32:H33"/>
    <mergeCell ref="M37:M39"/>
    <mergeCell ref="N37:N39"/>
    <mergeCell ref="O37:O39"/>
    <mergeCell ref="P37:P39"/>
    <mergeCell ref="A38:B38"/>
    <mergeCell ref="C38:D38"/>
    <mergeCell ref="A39:B39"/>
    <mergeCell ref="C39:D39"/>
    <mergeCell ref="G37:G39"/>
    <mergeCell ref="H37:H39"/>
    <mergeCell ref="I37:I39"/>
    <mergeCell ref="J37:J39"/>
    <mergeCell ref="K37:K39"/>
    <mergeCell ref="L37:L39"/>
    <mergeCell ref="A40:B40"/>
    <mergeCell ref="C40:D40"/>
    <mergeCell ref="A42:O42"/>
    <mergeCell ref="A45:B45"/>
    <mergeCell ref="C45:D45"/>
    <mergeCell ref="E45:E46"/>
    <mergeCell ref="F45:F46"/>
    <mergeCell ref="G45:G46"/>
    <mergeCell ref="H45:H46"/>
    <mergeCell ref="I45:I46"/>
    <mergeCell ref="P45:P46"/>
    <mergeCell ref="A46:B46"/>
    <mergeCell ref="C46:D46"/>
    <mergeCell ref="A47:B47"/>
    <mergeCell ref="C47:D47"/>
    <mergeCell ref="A48:B48"/>
    <mergeCell ref="C48:D48"/>
    <mergeCell ref="J45:J46"/>
    <mergeCell ref="K45:K46"/>
    <mergeCell ref="L45:L46"/>
    <mergeCell ref="M45:M46"/>
    <mergeCell ref="N45:N46"/>
    <mergeCell ref="O45:O46"/>
    <mergeCell ref="O50:O51"/>
    <mergeCell ref="P50:P51"/>
    <mergeCell ref="A51:B51"/>
    <mergeCell ref="C51:D51"/>
    <mergeCell ref="A53:B53"/>
    <mergeCell ref="C53:D53"/>
    <mergeCell ref="I50:I51"/>
    <mergeCell ref="J50:J51"/>
    <mergeCell ref="K50:K51"/>
    <mergeCell ref="L50:L51"/>
    <mergeCell ref="M50:M51"/>
    <mergeCell ref="N50:N51"/>
    <mergeCell ref="A50:B50"/>
    <mergeCell ref="C50:D50"/>
    <mergeCell ref="E50:E51"/>
    <mergeCell ref="F50:F51"/>
    <mergeCell ref="G50:G51"/>
    <mergeCell ref="H50:H51"/>
    <mergeCell ref="L54:L55"/>
    <mergeCell ref="N54:N55"/>
    <mergeCell ref="A56:B56"/>
    <mergeCell ref="C56:D56"/>
    <mergeCell ref="A54:B54"/>
    <mergeCell ref="C54:D55"/>
    <mergeCell ref="E54:E55"/>
    <mergeCell ref="F54:F55"/>
    <mergeCell ref="G54:G55"/>
    <mergeCell ref="H54:H55"/>
    <mergeCell ref="A58:B58"/>
    <mergeCell ref="C58:D58"/>
    <mergeCell ref="A59:B59"/>
    <mergeCell ref="C59:D59"/>
    <mergeCell ref="A61:B61"/>
    <mergeCell ref="C61:D61"/>
    <mergeCell ref="I54:I55"/>
    <mergeCell ref="J54:J55"/>
    <mergeCell ref="K54:K55"/>
    <mergeCell ref="O62:O63"/>
    <mergeCell ref="P62:P63"/>
    <mergeCell ref="A63:B63"/>
    <mergeCell ref="C63:D63"/>
    <mergeCell ref="A64:B64"/>
    <mergeCell ref="C64:D64"/>
    <mergeCell ref="I62:I63"/>
    <mergeCell ref="J62:J63"/>
    <mergeCell ref="K62:K63"/>
    <mergeCell ref="L62:L63"/>
    <mergeCell ref="M62:M63"/>
    <mergeCell ref="N62:N63"/>
    <mergeCell ref="A62:B62"/>
    <mergeCell ref="C62:D62"/>
    <mergeCell ref="E62:E63"/>
    <mergeCell ref="F62:F63"/>
    <mergeCell ref="G62:G63"/>
    <mergeCell ref="H62:H63"/>
    <mergeCell ref="O65:O66"/>
    <mergeCell ref="P65:P66"/>
    <mergeCell ref="A66:B66"/>
    <mergeCell ref="C66:D66"/>
    <mergeCell ref="A67:B67"/>
    <mergeCell ref="C67:D67"/>
    <mergeCell ref="E67:E69"/>
    <mergeCell ref="F67:F69"/>
    <mergeCell ref="G67:G69"/>
    <mergeCell ref="H67:H69"/>
    <mergeCell ref="I65:I66"/>
    <mergeCell ref="J65:J66"/>
    <mergeCell ref="K65:K66"/>
    <mergeCell ref="L65:L66"/>
    <mergeCell ref="M65:M66"/>
    <mergeCell ref="N65:N66"/>
    <mergeCell ref="A65:B65"/>
    <mergeCell ref="C65:D65"/>
    <mergeCell ref="E65:E66"/>
    <mergeCell ref="F65:F66"/>
    <mergeCell ref="G65:G66"/>
    <mergeCell ref="H65:H66"/>
    <mergeCell ref="A70:B70"/>
    <mergeCell ref="C70:D70"/>
    <mergeCell ref="A71:B71"/>
    <mergeCell ref="C71:D71"/>
    <mergeCell ref="A72:B72"/>
    <mergeCell ref="C72:D72"/>
    <mergeCell ref="O67:O69"/>
    <mergeCell ref="P67:P69"/>
    <mergeCell ref="A68:B68"/>
    <mergeCell ref="C68:D68"/>
    <mergeCell ref="A69:B69"/>
    <mergeCell ref="C69:D69"/>
    <mergeCell ref="I67:I69"/>
    <mergeCell ref="J67:J69"/>
    <mergeCell ref="K67:K69"/>
    <mergeCell ref="L67:L69"/>
    <mergeCell ref="M67:M69"/>
    <mergeCell ref="N67:N69"/>
    <mergeCell ref="N72:N75"/>
    <mergeCell ref="O72:O75"/>
    <mergeCell ref="P72:P75"/>
    <mergeCell ref="E72:E75"/>
    <mergeCell ref="F72:F75"/>
    <mergeCell ref="G72:G75"/>
    <mergeCell ref="H72:H75"/>
    <mergeCell ref="I72:I75"/>
    <mergeCell ref="J72:J75"/>
    <mergeCell ref="A73:B73"/>
    <mergeCell ref="C73:D73"/>
    <mergeCell ref="A74:B74"/>
    <mergeCell ref="C74:D74"/>
    <mergeCell ref="A75:B75"/>
    <mergeCell ref="C75:D75"/>
    <mergeCell ref="K72:K75"/>
    <mergeCell ref="L72:L75"/>
    <mergeCell ref="M72:M75"/>
    <mergeCell ref="A76:B76"/>
    <mergeCell ref="C76:D76"/>
    <mergeCell ref="A77:O77"/>
    <mergeCell ref="A80:B108"/>
    <mergeCell ref="C80:D80"/>
    <mergeCell ref="E80:E81"/>
    <mergeCell ref="F80:F81"/>
    <mergeCell ref="G80:G81"/>
    <mergeCell ref="H80:H81"/>
    <mergeCell ref="I80:I81"/>
    <mergeCell ref="N87:N89"/>
    <mergeCell ref="O87:O89"/>
    <mergeCell ref="C91:D91"/>
    <mergeCell ref="E91:E92"/>
    <mergeCell ref="F91:F92"/>
    <mergeCell ref="G91:G92"/>
    <mergeCell ref="H91:H92"/>
    <mergeCell ref="I91:I92"/>
    <mergeCell ref="J91:J92"/>
    <mergeCell ref="K91:K92"/>
    <mergeCell ref="L91:L92"/>
    <mergeCell ref="P80:P81"/>
    <mergeCell ref="C81:D81"/>
    <mergeCell ref="C83:D83"/>
    <mergeCell ref="C84:D85"/>
    <mergeCell ref="E84:E85"/>
    <mergeCell ref="F84:F85"/>
    <mergeCell ref="G84:G85"/>
    <mergeCell ref="H84:H85"/>
    <mergeCell ref="I84:I85"/>
    <mergeCell ref="J84:J85"/>
    <mergeCell ref="J80:J81"/>
    <mergeCell ref="K80:K81"/>
    <mergeCell ref="L80:L81"/>
    <mergeCell ref="M80:M81"/>
    <mergeCell ref="N80:N81"/>
    <mergeCell ref="O80:O81"/>
    <mergeCell ref="O94:O96"/>
    <mergeCell ref="P94:P96"/>
    <mergeCell ref="C95:D95"/>
    <mergeCell ref="C96:D96"/>
    <mergeCell ref="L94:L96"/>
    <mergeCell ref="M94:M96"/>
    <mergeCell ref="N94:N96"/>
    <mergeCell ref="P87:P89"/>
    <mergeCell ref="K84:K85"/>
    <mergeCell ref="L84:L85"/>
    <mergeCell ref="N84:N85"/>
    <mergeCell ref="C87:D87"/>
    <mergeCell ref="E87:E90"/>
    <mergeCell ref="F87:F90"/>
    <mergeCell ref="G87:G90"/>
    <mergeCell ref="H87:H90"/>
    <mergeCell ref="I87:I90"/>
    <mergeCell ref="J87:J90"/>
    <mergeCell ref="C88:D88"/>
    <mergeCell ref="C89:D89"/>
    <mergeCell ref="K87:K90"/>
    <mergeCell ref="L87:L90"/>
    <mergeCell ref="M87:M89"/>
    <mergeCell ref="C97:D97"/>
    <mergeCell ref="C99:D99"/>
    <mergeCell ref="E99:E101"/>
    <mergeCell ref="F99:F101"/>
    <mergeCell ref="G99:G101"/>
    <mergeCell ref="H99:H101"/>
    <mergeCell ref="I94:I96"/>
    <mergeCell ref="J94:J96"/>
    <mergeCell ref="K94:K96"/>
    <mergeCell ref="C94:D94"/>
    <mergeCell ref="E94:E96"/>
    <mergeCell ref="F94:F96"/>
    <mergeCell ref="G94:G96"/>
    <mergeCell ref="H94:H96"/>
    <mergeCell ref="O99:O101"/>
    <mergeCell ref="P99:P101"/>
    <mergeCell ref="C100:D100"/>
    <mergeCell ref="C101:D101"/>
    <mergeCell ref="C103:D103"/>
    <mergeCell ref="C104:D104"/>
    <mergeCell ref="E104:E105"/>
    <mergeCell ref="F104:F105"/>
    <mergeCell ref="G104:G105"/>
    <mergeCell ref="H104:H105"/>
    <mergeCell ref="I99:I101"/>
    <mergeCell ref="J99:J101"/>
    <mergeCell ref="K99:K101"/>
    <mergeCell ref="L99:L101"/>
    <mergeCell ref="M99:M101"/>
    <mergeCell ref="N99:N101"/>
    <mergeCell ref="O104:O105"/>
    <mergeCell ref="P104:P105"/>
    <mergeCell ref="C105:D105"/>
    <mergeCell ref="K104:K105"/>
    <mergeCell ref="L104:L105"/>
    <mergeCell ref="M104:M105"/>
    <mergeCell ref="N104:N105"/>
    <mergeCell ref="C107:D107"/>
    <mergeCell ref="C108:D108"/>
    <mergeCell ref="A109:B109"/>
    <mergeCell ref="C109:D109"/>
    <mergeCell ref="E109:E111"/>
    <mergeCell ref="F109:F111"/>
    <mergeCell ref="G109:G111"/>
    <mergeCell ref="I104:I105"/>
    <mergeCell ref="J104:J105"/>
    <mergeCell ref="O109:O111"/>
    <mergeCell ref="P109:P111"/>
    <mergeCell ref="A110:B110"/>
    <mergeCell ref="C110:D110"/>
    <mergeCell ref="A111:B111"/>
    <mergeCell ref="C111:D111"/>
    <mergeCell ref="H109:H111"/>
    <mergeCell ref="I109:I111"/>
    <mergeCell ref="J109:J111"/>
    <mergeCell ref="K109:K111"/>
    <mergeCell ref="L109:L111"/>
    <mergeCell ref="M109:M111"/>
    <mergeCell ref="A112:B112"/>
    <mergeCell ref="C112:D112"/>
    <mergeCell ref="A114:B114"/>
    <mergeCell ref="C114:D115"/>
    <mergeCell ref="A115:B115"/>
    <mergeCell ref="A116:B116"/>
    <mergeCell ref="C116:D117"/>
    <mergeCell ref="A117:B117"/>
    <mergeCell ref="N109:N111"/>
    <mergeCell ref="K116:K117"/>
    <mergeCell ref="L116:L117"/>
    <mergeCell ref="M116:M117"/>
    <mergeCell ref="N116:N117"/>
    <mergeCell ref="O116:O117"/>
    <mergeCell ref="P116:P117"/>
    <mergeCell ref="E116:E117"/>
    <mergeCell ref="F116:F117"/>
    <mergeCell ref="G116:G117"/>
    <mergeCell ref="H116:H117"/>
    <mergeCell ref="I116:I117"/>
    <mergeCell ref="J116:J117"/>
    <mergeCell ref="A119:O119"/>
    <mergeCell ref="A122:B122"/>
    <mergeCell ref="C122:D122"/>
    <mergeCell ref="E122:E123"/>
    <mergeCell ref="F122:F123"/>
    <mergeCell ref="G122:G123"/>
    <mergeCell ref="H122:H123"/>
    <mergeCell ref="I122:I123"/>
    <mergeCell ref="J122:J123"/>
    <mergeCell ref="K122:K123"/>
    <mergeCell ref="I124:I125"/>
    <mergeCell ref="J124:J125"/>
    <mergeCell ref="K124:K125"/>
    <mergeCell ref="A125:B125"/>
    <mergeCell ref="C125:D125"/>
    <mergeCell ref="A126:B126"/>
    <mergeCell ref="C126:D126"/>
    <mergeCell ref="A124:B124"/>
    <mergeCell ref="C124:D124"/>
    <mergeCell ref="E124:E125"/>
    <mergeCell ref="F124:F125"/>
    <mergeCell ref="G124:G125"/>
    <mergeCell ref="H124:H125"/>
    <mergeCell ref="O127:O128"/>
    <mergeCell ref="P127:P128"/>
    <mergeCell ref="A128:B128"/>
    <mergeCell ref="C128:D128"/>
    <mergeCell ref="A129:B129"/>
    <mergeCell ref="C129:D129"/>
    <mergeCell ref="I127:I128"/>
    <mergeCell ref="J127:J128"/>
    <mergeCell ref="K127:K128"/>
    <mergeCell ref="L127:L128"/>
    <mergeCell ref="M127:M128"/>
    <mergeCell ref="N127:N128"/>
    <mergeCell ref="A127:B127"/>
    <mergeCell ref="C127:D127"/>
    <mergeCell ref="E127:E128"/>
    <mergeCell ref="F127:F128"/>
    <mergeCell ref="G127:G128"/>
    <mergeCell ref="H127:H128"/>
    <mergeCell ref="A135:B135"/>
    <mergeCell ref="C135:D135"/>
    <mergeCell ref="A131:B131"/>
    <mergeCell ref="C131:D132"/>
    <mergeCell ref="A132:B132"/>
    <mergeCell ref="A133:B133"/>
    <mergeCell ref="C133:D133"/>
    <mergeCell ref="A134:B134"/>
    <mergeCell ref="C134:D134"/>
  </mergeCells>
  <pageMargins left="0.70000000000000007" right="0.70000000000000007" top="0.75" bottom="0.75" header="0.30000000000000004" footer="0.30000000000000004"/>
  <pageSetup paperSize="9" fitToWidth="0"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0"/>
  </sheetPr>
  <dimension ref="A2:L73"/>
  <sheetViews>
    <sheetView topLeftCell="A4" zoomScale="69" zoomScaleNormal="69" zoomScaleSheetLayoutView="69" workbookViewId="0">
      <pane xSplit="2" ySplit="2" topLeftCell="C45" activePane="bottomRight" state="frozen"/>
      <selection activeCell="A4" sqref="A4"/>
      <selection pane="topRight" activeCell="C4" sqref="C4"/>
      <selection pane="bottomLeft" activeCell="A6" sqref="A6"/>
      <selection pane="bottomRight" activeCell="K72" sqref="K72"/>
    </sheetView>
  </sheetViews>
  <sheetFormatPr baseColWidth="10" defaultColWidth="9.140625" defaultRowHeight="15" x14ac:dyDescent="0.25"/>
  <cols>
    <col min="1" max="1" width="4.28515625" style="21" customWidth="1"/>
    <col min="2" max="2" width="30.7109375" style="21" customWidth="1"/>
    <col min="3" max="3" width="36.42578125" style="21" customWidth="1"/>
    <col min="4" max="4" width="23.140625" style="21" customWidth="1"/>
    <col min="5" max="5" width="17.5703125" style="21" customWidth="1"/>
    <col min="6" max="6" width="21.140625" style="21" customWidth="1"/>
    <col min="7" max="7" width="18" style="21" customWidth="1"/>
    <col min="8" max="8" width="24.28515625" style="21" customWidth="1"/>
    <col min="9" max="10" width="22.42578125" style="68" customWidth="1"/>
    <col min="11" max="11" width="22.42578125" style="69" customWidth="1"/>
    <col min="12" max="12" width="23.42578125" style="21" customWidth="1"/>
    <col min="13" max="16384" width="9.140625" style="21"/>
  </cols>
  <sheetData>
    <row r="2" spans="1:12" ht="29.25" customHeight="1" x14ac:dyDescent="0.7">
      <c r="B2" s="833" t="s">
        <v>554</v>
      </c>
      <c r="C2" s="833"/>
      <c r="D2" s="833"/>
      <c r="E2" s="833"/>
      <c r="F2" s="19"/>
      <c r="G2" s="19"/>
      <c r="H2" s="20"/>
      <c r="I2" s="70"/>
      <c r="J2" s="70"/>
      <c r="K2" s="503"/>
    </row>
    <row r="3" spans="1:12" ht="24" customHeight="1" x14ac:dyDescent="0.4">
      <c r="B3" s="834" t="s">
        <v>342</v>
      </c>
      <c r="C3" s="834"/>
      <c r="D3" s="834"/>
      <c r="E3" s="834"/>
      <c r="F3" s="834"/>
      <c r="G3" s="834"/>
      <c r="H3" s="834"/>
      <c r="I3" s="71"/>
      <c r="J3" s="71"/>
      <c r="K3" s="504"/>
    </row>
    <row r="4" spans="1:12" ht="9" customHeight="1" thickBot="1" x14ac:dyDescent="0.3">
      <c r="D4" s="24"/>
      <c r="E4" s="24"/>
      <c r="F4" s="24"/>
      <c r="G4" s="24"/>
      <c r="H4" s="23"/>
      <c r="I4" s="69"/>
      <c r="J4" s="69"/>
    </row>
    <row r="5" spans="1:12" ht="127.5" customHeight="1" x14ac:dyDescent="0.25">
      <c r="B5" s="39" t="s">
        <v>343</v>
      </c>
      <c r="C5" s="39" t="s">
        <v>378</v>
      </c>
      <c r="D5" s="80" t="s">
        <v>503</v>
      </c>
      <c r="E5" s="80" t="s">
        <v>504</v>
      </c>
      <c r="F5" s="80" t="s">
        <v>379</v>
      </c>
      <c r="G5" s="39" t="s">
        <v>1</v>
      </c>
      <c r="H5" s="39" t="s">
        <v>380</v>
      </c>
      <c r="I5" s="204" t="s">
        <v>810</v>
      </c>
      <c r="J5" s="204" t="s">
        <v>570</v>
      </c>
      <c r="K5" s="505" t="s">
        <v>571</v>
      </c>
      <c r="L5" s="205" t="s">
        <v>556</v>
      </c>
    </row>
    <row r="6" spans="1:12" ht="48" customHeight="1" x14ac:dyDescent="0.25">
      <c r="B6" s="39"/>
      <c r="C6" s="39"/>
      <c r="D6" s="80"/>
      <c r="E6" s="80"/>
      <c r="F6" s="80"/>
      <c r="G6" s="39"/>
      <c r="H6" s="39"/>
      <c r="I6" s="39"/>
      <c r="J6" s="39"/>
      <c r="K6" s="506"/>
      <c r="L6" s="206"/>
    </row>
    <row r="7" spans="1:12" ht="49.5" customHeight="1" x14ac:dyDescent="0.25">
      <c r="B7" s="34" t="s">
        <v>344</v>
      </c>
      <c r="C7" s="824" t="s">
        <v>542</v>
      </c>
      <c r="D7" s="824"/>
      <c r="E7" s="824"/>
      <c r="F7" s="824"/>
      <c r="G7" s="824"/>
      <c r="H7" s="824"/>
      <c r="I7" s="825"/>
      <c r="J7" s="825"/>
      <c r="K7" s="825"/>
      <c r="L7" s="206"/>
    </row>
    <row r="8" spans="1:12" ht="51" customHeight="1" x14ac:dyDescent="0.25">
      <c r="B8" s="479" t="s">
        <v>345</v>
      </c>
      <c r="C8" s="835" t="s">
        <v>536</v>
      </c>
      <c r="D8" s="836"/>
      <c r="E8" s="836"/>
      <c r="F8" s="836"/>
      <c r="G8" s="836"/>
      <c r="H8" s="836"/>
      <c r="I8" s="829"/>
      <c r="J8" s="829"/>
      <c r="K8" s="829"/>
      <c r="L8" s="206"/>
    </row>
    <row r="9" spans="1:12" ht="62.45" customHeight="1" x14ac:dyDescent="0.25">
      <c r="B9" s="35" t="s">
        <v>346</v>
      </c>
      <c r="C9" s="179" t="s">
        <v>553</v>
      </c>
      <c r="D9" s="11"/>
      <c r="E9" s="11"/>
      <c r="F9" s="11"/>
      <c r="G9" s="60">
        <f>SUM(D9:F9)</f>
        <v>0</v>
      </c>
      <c r="H9" s="58"/>
      <c r="I9" s="67"/>
      <c r="J9" s="67"/>
      <c r="K9" s="507"/>
      <c r="L9" s="489"/>
    </row>
    <row r="10" spans="1:12" ht="57.6" customHeight="1" x14ac:dyDescent="0.25">
      <c r="B10" s="35" t="s">
        <v>347</v>
      </c>
      <c r="C10" s="179" t="s">
        <v>519</v>
      </c>
      <c r="D10" s="470">
        <f>Répartition_Final!E5</f>
        <v>61500</v>
      </c>
      <c r="E10" s="470">
        <f>Répartition_Final!F5</f>
        <v>8000</v>
      </c>
      <c r="F10" s="11"/>
      <c r="G10" s="60">
        <f t="shared" ref="G10:G12" si="0">SUM(D10:F10)</f>
        <v>69500</v>
      </c>
      <c r="H10" s="58">
        <v>0.35</v>
      </c>
      <c r="I10" s="568">
        <v>68531.399999999994</v>
      </c>
      <c r="J10" s="568">
        <v>5492.9546552186748</v>
      </c>
      <c r="K10" s="507">
        <f>I10+J10</f>
        <v>74024.354655218674</v>
      </c>
      <c r="L10" s="575" t="s">
        <v>821</v>
      </c>
    </row>
    <row r="11" spans="1:12" ht="135" x14ac:dyDescent="0.25">
      <c r="B11" s="35" t="s">
        <v>348</v>
      </c>
      <c r="C11" s="179" t="s">
        <v>520</v>
      </c>
      <c r="D11" s="470">
        <f>Répartition_Final!E12</f>
        <v>22000</v>
      </c>
      <c r="E11" s="470">
        <f>Répartition_Final!F12</f>
        <v>6000</v>
      </c>
      <c r="F11" s="11"/>
      <c r="G11" s="60">
        <f t="shared" si="0"/>
        <v>28000</v>
      </c>
      <c r="H11" s="58">
        <v>0.35</v>
      </c>
      <c r="I11" s="569">
        <v>36617.599999999999</v>
      </c>
      <c r="J11" s="568">
        <v>4147.3034612288702</v>
      </c>
      <c r="K11" s="507">
        <f>I11+J11</f>
        <v>40764.903461228867</v>
      </c>
      <c r="L11" s="575" t="s">
        <v>822</v>
      </c>
    </row>
    <row r="12" spans="1:12" ht="93" customHeight="1" x14ac:dyDescent="0.25">
      <c r="B12" s="35" t="s">
        <v>349</v>
      </c>
      <c r="C12" s="179" t="s">
        <v>521</v>
      </c>
      <c r="D12" s="470">
        <f>Répartition_Final!E17</f>
        <v>13000</v>
      </c>
      <c r="E12" s="470">
        <f>Répartition_Final!F17</f>
        <v>1000</v>
      </c>
      <c r="F12" s="11"/>
      <c r="G12" s="60">
        <f t="shared" si="0"/>
        <v>14000</v>
      </c>
      <c r="H12" s="58">
        <v>0.3</v>
      </c>
      <c r="I12" s="570">
        <v>18342</v>
      </c>
      <c r="J12" s="571">
        <v>92.567748859672662</v>
      </c>
      <c r="K12" s="507">
        <f>I12+J12</f>
        <v>18434.567748859674</v>
      </c>
      <c r="L12" s="576" t="s">
        <v>823</v>
      </c>
    </row>
    <row r="13" spans="1:12" ht="50.25" customHeight="1" x14ac:dyDescent="0.25">
      <c r="A13" s="22"/>
      <c r="B13" s="206"/>
      <c r="C13" s="36" t="s">
        <v>381</v>
      </c>
      <c r="D13" s="12">
        <f>SUM(D9:D12)</f>
        <v>96500</v>
      </c>
      <c r="E13" s="12">
        <f>SUM(E9:E12)</f>
        <v>15000</v>
      </c>
      <c r="F13" s="12">
        <f>SUM(F9:F12)</f>
        <v>0</v>
      </c>
      <c r="G13" s="12">
        <f>SUM(G9:G12)</f>
        <v>111500</v>
      </c>
      <c r="H13" s="48">
        <f>(H9*G9)+(H10*G10)+(H11*G11)+(H12*G12)</f>
        <v>38325</v>
      </c>
      <c r="I13" s="48">
        <f>SUM(I9:I12)</f>
        <v>123491</v>
      </c>
      <c r="J13" s="48">
        <f>SUM(J10:J12)</f>
        <v>9732.8258653072171</v>
      </c>
      <c r="K13" s="82">
        <f>SUM(K10:K12)</f>
        <v>133223.82586530721</v>
      </c>
      <c r="L13" s="206" t="s">
        <v>813</v>
      </c>
    </row>
    <row r="14" spans="1:12" ht="51" customHeight="1" x14ac:dyDescent="0.25">
      <c r="A14" s="22"/>
      <c r="B14" s="479" t="s">
        <v>350</v>
      </c>
      <c r="C14" s="827" t="s">
        <v>537</v>
      </c>
      <c r="D14" s="828"/>
      <c r="E14" s="828"/>
      <c r="F14" s="828"/>
      <c r="G14" s="828"/>
      <c r="H14" s="828"/>
      <c r="I14" s="829"/>
      <c r="J14" s="829"/>
      <c r="K14" s="829"/>
      <c r="L14" s="206"/>
    </row>
    <row r="15" spans="1:12" ht="93.75" customHeight="1" x14ac:dyDescent="0.25">
      <c r="A15" s="22"/>
      <c r="B15" s="35" t="s">
        <v>351</v>
      </c>
      <c r="C15" s="179" t="s">
        <v>523</v>
      </c>
      <c r="D15" s="470">
        <f>Répartition_Final!E21</f>
        <v>57000</v>
      </c>
      <c r="E15" s="11">
        <f>Répartition_Final!F21</f>
        <v>4000</v>
      </c>
      <c r="F15" s="11"/>
      <c r="G15" s="60">
        <f>SUM(D15:F15)</f>
        <v>61000</v>
      </c>
      <c r="H15" s="58">
        <v>0.4</v>
      </c>
      <c r="I15" s="569">
        <v>57000</v>
      </c>
      <c r="J15" s="572">
        <v>3223.6678293533673</v>
      </c>
      <c r="K15" s="507">
        <f>I15+J15</f>
        <v>60223.66782935337</v>
      </c>
      <c r="L15" s="575" t="s">
        <v>824</v>
      </c>
    </row>
    <row r="16" spans="1:12" ht="94.5" x14ac:dyDescent="0.25">
      <c r="A16" s="22"/>
      <c r="B16" s="35" t="s">
        <v>352</v>
      </c>
      <c r="C16" s="179" t="s">
        <v>524</v>
      </c>
      <c r="D16" s="470">
        <f>Répartition_Final!E26</f>
        <v>165000</v>
      </c>
      <c r="E16" s="11">
        <f>Répartition_Final!F26</f>
        <v>8000</v>
      </c>
      <c r="F16" s="11"/>
      <c r="G16" s="60">
        <f t="shared" ref="G16:G17" si="1">SUM(D16:F16)</f>
        <v>173000</v>
      </c>
      <c r="H16" s="58">
        <v>0.4</v>
      </c>
      <c r="I16" s="569">
        <v>33265</v>
      </c>
      <c r="J16" s="573">
        <v>5838.6299973168771</v>
      </c>
      <c r="K16" s="507">
        <f>I16+J16</f>
        <v>39103.629997316879</v>
      </c>
      <c r="L16" s="577" t="s">
        <v>825</v>
      </c>
    </row>
    <row r="17" spans="1:12" ht="108" customHeight="1" x14ac:dyDescent="0.25">
      <c r="A17" s="22"/>
      <c r="B17" s="35" t="s">
        <v>353</v>
      </c>
      <c r="C17" s="179" t="s">
        <v>546</v>
      </c>
      <c r="D17" s="470">
        <f>Répartition_Final!E30</f>
        <v>20000</v>
      </c>
      <c r="E17" s="11">
        <f>Répartition_Final!F30</f>
        <v>1000</v>
      </c>
      <c r="F17" s="11"/>
      <c r="G17" s="60">
        <f t="shared" si="1"/>
        <v>21000</v>
      </c>
      <c r="H17" s="58">
        <v>0.4</v>
      </c>
      <c r="I17" s="572">
        <v>7019</v>
      </c>
      <c r="J17" s="572"/>
      <c r="K17" s="507">
        <f>I17+J17</f>
        <v>7019</v>
      </c>
      <c r="L17" s="206"/>
    </row>
    <row r="18" spans="1:12" ht="37.5" customHeight="1" x14ac:dyDescent="0.25">
      <c r="A18" s="22"/>
      <c r="B18" s="206"/>
      <c r="C18" s="36" t="s">
        <v>381</v>
      </c>
      <c r="D18" s="13">
        <f>SUM(D15:D17)</f>
        <v>242000</v>
      </c>
      <c r="E18" s="13">
        <f>SUM(E15:E17)</f>
        <v>13000</v>
      </c>
      <c r="F18" s="13">
        <f>SUM(F15:F17)</f>
        <v>0</v>
      </c>
      <c r="G18" s="13">
        <f>SUM(G15:G17)</f>
        <v>255000</v>
      </c>
      <c r="H18" s="48">
        <f>(H15*G15)+(H16*G16)+(H17*G17)</f>
        <v>102000</v>
      </c>
      <c r="I18" s="48">
        <f>SUM(I15:I17)</f>
        <v>97284</v>
      </c>
      <c r="J18" s="48">
        <f>SUM(J15:J17)</f>
        <v>9062.2978266702448</v>
      </c>
      <c r="K18" s="82">
        <f>SUM(K15:K17)</f>
        <v>106346.29782667026</v>
      </c>
      <c r="L18" s="206" t="s">
        <v>814</v>
      </c>
    </row>
    <row r="19" spans="1:12" ht="36.75" customHeight="1" x14ac:dyDescent="0.25">
      <c r="B19" s="7"/>
      <c r="C19" s="8"/>
      <c r="D19" s="6"/>
      <c r="E19" s="6"/>
      <c r="F19" s="6"/>
      <c r="G19" s="6"/>
      <c r="H19" s="6"/>
      <c r="I19" s="6"/>
      <c r="J19" s="6"/>
      <c r="K19" s="508"/>
      <c r="L19" s="206"/>
    </row>
    <row r="20" spans="1:12" ht="51" customHeight="1" x14ac:dyDescent="0.25">
      <c r="B20" s="480" t="s">
        <v>354</v>
      </c>
      <c r="C20" s="826" t="s">
        <v>543</v>
      </c>
      <c r="D20" s="826"/>
      <c r="E20" s="826"/>
      <c r="F20" s="826"/>
      <c r="G20" s="826"/>
      <c r="H20" s="826"/>
      <c r="I20" s="825"/>
      <c r="J20" s="825"/>
      <c r="K20" s="825"/>
      <c r="L20" s="206"/>
    </row>
    <row r="21" spans="1:12" ht="51" customHeight="1" x14ac:dyDescent="0.25">
      <c r="B21" s="479" t="s">
        <v>355</v>
      </c>
      <c r="C21" s="827" t="s">
        <v>544</v>
      </c>
      <c r="D21" s="828"/>
      <c r="E21" s="828"/>
      <c r="F21" s="828"/>
      <c r="G21" s="828"/>
      <c r="H21" s="828"/>
      <c r="I21" s="829"/>
      <c r="J21" s="829"/>
      <c r="K21" s="829"/>
      <c r="L21" s="206"/>
    </row>
    <row r="22" spans="1:12" ht="112.5" customHeight="1" x14ac:dyDescent="0.25">
      <c r="B22" s="35" t="s">
        <v>356</v>
      </c>
      <c r="C22" s="179" t="s">
        <v>535</v>
      </c>
      <c r="D22" s="470">
        <f>Répartition_Final!E33</f>
        <v>38000</v>
      </c>
      <c r="E22" s="11">
        <f>Répartition_Final!F33</f>
        <v>1000</v>
      </c>
      <c r="F22" s="11"/>
      <c r="G22" s="60">
        <f>SUM(D22:F22)</f>
        <v>39000</v>
      </c>
      <c r="H22" s="58">
        <v>0.35</v>
      </c>
      <c r="I22" s="470">
        <v>38000</v>
      </c>
      <c r="J22" s="470"/>
      <c r="K22" s="507">
        <f>I22+J22</f>
        <v>38000</v>
      </c>
      <c r="L22" s="577" t="s">
        <v>826</v>
      </c>
    </row>
    <row r="23" spans="1:12" ht="103.5" customHeight="1" x14ac:dyDescent="0.25">
      <c r="B23" s="35" t="s">
        <v>357</v>
      </c>
      <c r="C23" s="179" t="s">
        <v>525</v>
      </c>
      <c r="D23" s="470">
        <f>Répartition_Final!E38</f>
        <v>34000</v>
      </c>
      <c r="E23" s="11">
        <f>Répartition_Final!F38</f>
        <v>3000</v>
      </c>
      <c r="F23" s="11"/>
      <c r="G23" s="60">
        <f t="shared" ref="G23" si="2">SUM(D23:F23)</f>
        <v>37000</v>
      </c>
      <c r="H23" s="58">
        <v>0.35</v>
      </c>
      <c r="I23" s="470">
        <v>37859.47</v>
      </c>
      <c r="J23" s="470">
        <v>28.977730077810573</v>
      </c>
      <c r="K23" s="507">
        <f>I23+J23</f>
        <v>37888.447730077809</v>
      </c>
      <c r="L23" s="577" t="s">
        <v>827</v>
      </c>
    </row>
    <row r="24" spans="1:12" s="22" customFormat="1" ht="45" customHeight="1" x14ac:dyDescent="0.25">
      <c r="A24" s="21"/>
      <c r="B24" s="206"/>
      <c r="C24" s="36" t="s">
        <v>381</v>
      </c>
      <c r="D24" s="12">
        <f>SUM(D22:D23)</f>
        <v>72000</v>
      </c>
      <c r="E24" s="12">
        <f>SUM(E22:E23)</f>
        <v>4000</v>
      </c>
      <c r="F24" s="12">
        <f>SUM(F22:F23)</f>
        <v>0</v>
      </c>
      <c r="G24" s="13">
        <f>SUM(G22:G23)</f>
        <v>76000</v>
      </c>
      <c r="H24" s="48">
        <f>(H22*G22)+(H23*G23)</f>
        <v>26600</v>
      </c>
      <c r="I24" s="48">
        <f>SUM(I22:I23)</f>
        <v>75859.47</v>
      </c>
      <c r="J24" s="48">
        <f>SUM(J22:J23)</f>
        <v>28.977730077810573</v>
      </c>
      <c r="K24" s="82">
        <f>SUM(K22:K23)</f>
        <v>75888.447730077809</v>
      </c>
      <c r="L24" s="207" t="s">
        <v>815</v>
      </c>
    </row>
    <row r="25" spans="1:12" ht="51" customHeight="1" x14ac:dyDescent="0.25">
      <c r="B25" s="479" t="s">
        <v>358</v>
      </c>
      <c r="C25" s="827" t="s">
        <v>538</v>
      </c>
      <c r="D25" s="828"/>
      <c r="E25" s="828"/>
      <c r="F25" s="828"/>
      <c r="G25" s="828"/>
      <c r="H25" s="828"/>
      <c r="I25" s="829"/>
      <c r="J25" s="829"/>
      <c r="K25" s="829"/>
      <c r="L25" s="206"/>
    </row>
    <row r="26" spans="1:12" ht="63" x14ac:dyDescent="0.25">
      <c r="B26" s="35" t="s">
        <v>359</v>
      </c>
      <c r="C26" s="179" t="s">
        <v>526</v>
      </c>
      <c r="D26" s="470">
        <f>Répartition_Final!E44</f>
        <v>13000</v>
      </c>
      <c r="E26" s="11">
        <f>Répartition_Final!F44</f>
        <v>5000</v>
      </c>
      <c r="F26" s="11"/>
      <c r="G26" s="60">
        <f>SUM(D26:F26)</f>
        <v>18000</v>
      </c>
      <c r="H26" s="58">
        <v>0.25</v>
      </c>
      <c r="I26" s="572">
        <v>11311</v>
      </c>
      <c r="J26" s="572">
        <v>2573.5063053394151</v>
      </c>
      <c r="K26" s="507">
        <f>I26+J26</f>
        <v>13884.506305339415</v>
      </c>
      <c r="L26" s="206"/>
    </row>
    <row r="27" spans="1:12" ht="49.9" customHeight="1" x14ac:dyDescent="0.25">
      <c r="B27" s="35" t="s">
        <v>360</v>
      </c>
      <c r="C27" s="179" t="s">
        <v>527</v>
      </c>
      <c r="D27" s="11">
        <f>Répartition_Final!E50</f>
        <v>0</v>
      </c>
      <c r="E27" s="11">
        <f>Répartition_Final!F50</f>
        <v>44000</v>
      </c>
      <c r="F27" s="11"/>
      <c r="G27" s="60">
        <f t="shared" ref="G27:G29" si="3">SUM(D27:F27)</f>
        <v>44000</v>
      </c>
      <c r="H27" s="58">
        <v>0.4</v>
      </c>
      <c r="I27" s="572"/>
      <c r="J27" s="572">
        <v>22831.311175207942</v>
      </c>
      <c r="K27" s="507">
        <f t="shared" ref="K27:K28" si="4">I27+J27</f>
        <v>22831.311175207942</v>
      </c>
      <c r="L27" s="206"/>
    </row>
    <row r="28" spans="1:12" ht="47.25" x14ac:dyDescent="0.25">
      <c r="B28" s="35" t="s">
        <v>361</v>
      </c>
      <c r="C28" s="179" t="s">
        <v>528</v>
      </c>
      <c r="D28" s="11">
        <f>Répartition_Final!E54</f>
        <v>0</v>
      </c>
      <c r="E28" s="11">
        <f>Répartition_Final!F54</f>
        <v>88000</v>
      </c>
      <c r="F28" s="11"/>
      <c r="G28" s="60">
        <f t="shared" si="3"/>
        <v>88000</v>
      </c>
      <c r="H28" s="58">
        <v>0.4</v>
      </c>
      <c r="I28" s="572"/>
      <c r="J28" s="572">
        <v>51542.763673195586</v>
      </c>
      <c r="K28" s="507">
        <f t="shared" si="4"/>
        <v>51542.763673195586</v>
      </c>
      <c r="L28" s="206" t="s">
        <v>816</v>
      </c>
    </row>
    <row r="29" spans="1:12" ht="79.900000000000006" customHeight="1" x14ac:dyDescent="0.25">
      <c r="B29" s="35" t="s">
        <v>362</v>
      </c>
      <c r="C29" s="179" t="s">
        <v>548</v>
      </c>
      <c r="D29" s="11">
        <f>Répartition_Final!E57</f>
        <v>0</v>
      </c>
      <c r="E29" s="11">
        <f>Répartition_Final!F57</f>
        <v>10000</v>
      </c>
      <c r="F29" s="11"/>
      <c r="G29" s="60">
        <f t="shared" si="3"/>
        <v>10000</v>
      </c>
      <c r="H29" s="58">
        <v>0.4</v>
      </c>
      <c r="I29" s="572"/>
      <c r="J29" s="572"/>
      <c r="K29" s="507">
        <f>I29+J29</f>
        <v>0</v>
      </c>
      <c r="L29" s="206"/>
    </row>
    <row r="30" spans="1:12" ht="39" customHeight="1" x14ac:dyDescent="0.25">
      <c r="B30" s="206"/>
      <c r="C30" s="36" t="s">
        <v>381</v>
      </c>
      <c r="D30" s="12">
        <f>SUM(D26:D29)</f>
        <v>13000</v>
      </c>
      <c r="E30" s="12">
        <f>SUM(E26:E29)</f>
        <v>147000</v>
      </c>
      <c r="F30" s="12">
        <f>SUM(F26:F29)</f>
        <v>0</v>
      </c>
      <c r="G30" s="12">
        <f>SUM(G26:G29)</f>
        <v>160000</v>
      </c>
      <c r="H30" s="48">
        <f>(H26*G26)+(H27*G27)+(H28*G28)+(H29*G29)</f>
        <v>61300</v>
      </c>
      <c r="I30" s="48">
        <f>SUM(I26:I29)</f>
        <v>11311</v>
      </c>
      <c r="J30" s="48">
        <f>SUM(J26:J29)</f>
        <v>76947.58115374294</v>
      </c>
      <c r="K30" s="82">
        <f>SUM(K26:K29)</f>
        <v>88258.58115374294</v>
      </c>
      <c r="L30" s="206"/>
    </row>
    <row r="31" spans="1:12" ht="37.5" customHeight="1" x14ac:dyDescent="0.25">
      <c r="B31" s="4"/>
      <c r="C31" s="7"/>
      <c r="D31" s="14"/>
      <c r="E31" s="14"/>
      <c r="F31" s="14"/>
      <c r="G31" s="14"/>
      <c r="H31" s="14"/>
      <c r="I31" s="14"/>
      <c r="J31" s="14"/>
      <c r="K31" s="490"/>
      <c r="L31" s="514"/>
    </row>
    <row r="32" spans="1:12" s="315" customFormat="1" ht="51" customHeight="1" x14ac:dyDescent="0.25">
      <c r="A32" s="21"/>
      <c r="B32" s="36" t="s">
        <v>363</v>
      </c>
      <c r="C32" s="830" t="s">
        <v>545</v>
      </c>
      <c r="D32" s="830"/>
      <c r="E32" s="830"/>
      <c r="F32" s="830"/>
      <c r="G32" s="830"/>
      <c r="H32" s="830"/>
      <c r="I32" s="831"/>
      <c r="J32" s="831"/>
      <c r="K32" s="831"/>
      <c r="L32" s="314"/>
    </row>
    <row r="33" spans="2:12" ht="51" customHeight="1" x14ac:dyDescent="0.25">
      <c r="B33" s="34" t="s">
        <v>364</v>
      </c>
      <c r="C33" s="827" t="s">
        <v>539</v>
      </c>
      <c r="D33" s="828"/>
      <c r="E33" s="828"/>
      <c r="F33" s="828"/>
      <c r="G33" s="828"/>
      <c r="H33" s="828"/>
      <c r="I33" s="829"/>
      <c r="J33" s="829"/>
      <c r="K33" s="829"/>
      <c r="L33" s="206"/>
    </row>
    <row r="34" spans="2:12" ht="93.75" x14ac:dyDescent="0.3">
      <c r="B34" s="35" t="s">
        <v>365</v>
      </c>
      <c r="C34" s="179" t="s">
        <v>529</v>
      </c>
      <c r="D34" s="470">
        <f>Répartition_Final!E60</f>
        <v>30000</v>
      </c>
      <c r="E34" s="11">
        <f>Répartition_Final!F60</f>
        <v>3000</v>
      </c>
      <c r="F34" s="11"/>
      <c r="G34" s="60">
        <f>SUM(D34:F34)</f>
        <v>33000</v>
      </c>
      <c r="H34" s="58">
        <v>0.4</v>
      </c>
      <c r="I34" s="569">
        <v>29583</v>
      </c>
      <c r="J34" s="572">
        <v>117.11832573115106</v>
      </c>
      <c r="K34" s="507">
        <f>I34+J34</f>
        <v>29700.11832573115</v>
      </c>
      <c r="L34" s="578" t="s">
        <v>828</v>
      </c>
    </row>
    <row r="35" spans="2:12" ht="63" x14ac:dyDescent="0.3">
      <c r="B35" s="35" t="s">
        <v>366</v>
      </c>
      <c r="C35" s="179" t="s">
        <v>530</v>
      </c>
      <c r="D35" s="470">
        <f>Répartition_Final!E65</f>
        <v>35500</v>
      </c>
      <c r="E35" s="11">
        <f>Répartition_Final!F65</f>
        <v>1500</v>
      </c>
      <c r="F35" s="11"/>
      <c r="G35" s="60">
        <f t="shared" ref="G35:G38" si="5">SUM(D35:F35)</f>
        <v>37000</v>
      </c>
      <c r="H35" s="58">
        <v>0.4</v>
      </c>
      <c r="I35" s="569">
        <v>35500</v>
      </c>
      <c r="J35" s="572"/>
      <c r="K35" s="507">
        <f t="shared" ref="K35:K38" si="6">I35+J35</f>
        <v>35500</v>
      </c>
      <c r="L35" s="578" t="s">
        <v>829</v>
      </c>
    </row>
    <row r="36" spans="2:12" ht="38.450000000000003" customHeight="1" x14ac:dyDescent="0.3">
      <c r="B36" s="35" t="s">
        <v>367</v>
      </c>
      <c r="C36" s="179" t="s">
        <v>531</v>
      </c>
      <c r="D36" s="470">
        <f>Répartition_Final!E69</f>
        <v>17000</v>
      </c>
      <c r="E36" s="11">
        <f>Répartition_Final!F69</f>
        <v>2000</v>
      </c>
      <c r="F36" s="11"/>
      <c r="G36" s="60">
        <f t="shared" si="5"/>
        <v>19000</v>
      </c>
      <c r="H36" s="58">
        <v>0.25</v>
      </c>
      <c r="I36" s="569">
        <v>17000</v>
      </c>
      <c r="J36" s="572">
        <v>1093.3726858062785</v>
      </c>
      <c r="K36" s="507">
        <f t="shared" si="6"/>
        <v>18093.37268580628</v>
      </c>
      <c r="L36" s="579" t="s">
        <v>830</v>
      </c>
    </row>
    <row r="37" spans="2:12" ht="63" x14ac:dyDescent="0.3">
      <c r="B37" s="35" t="s">
        <v>368</v>
      </c>
      <c r="C37" s="179" t="s">
        <v>550</v>
      </c>
      <c r="D37" s="470">
        <f>Répartition_Final!E72</f>
        <v>9000</v>
      </c>
      <c r="E37" s="11">
        <f>Répartition_Final!F72</f>
        <v>1500</v>
      </c>
      <c r="F37" s="11"/>
      <c r="G37" s="60">
        <f t="shared" si="5"/>
        <v>10500</v>
      </c>
      <c r="H37" s="58">
        <v>0.25</v>
      </c>
      <c r="I37" s="569"/>
      <c r="J37" s="572"/>
      <c r="K37" s="507">
        <f t="shared" si="6"/>
        <v>0</v>
      </c>
      <c r="L37" s="565"/>
    </row>
    <row r="38" spans="2:12" ht="47.25" x14ac:dyDescent="0.3">
      <c r="B38" s="35" t="s">
        <v>369</v>
      </c>
      <c r="C38" s="179" t="s">
        <v>532</v>
      </c>
      <c r="D38" s="470">
        <f>Répartition_Final!E73</f>
        <v>61000</v>
      </c>
      <c r="E38" s="11">
        <f>Répartition_Final!F73</f>
        <v>3000</v>
      </c>
      <c r="F38" s="11"/>
      <c r="G38" s="60">
        <f t="shared" si="5"/>
        <v>64000</v>
      </c>
      <c r="H38" s="58">
        <v>0.25</v>
      </c>
      <c r="I38" s="569">
        <v>10104</v>
      </c>
      <c r="J38" s="572"/>
      <c r="K38" s="507">
        <f t="shared" si="6"/>
        <v>10104</v>
      </c>
      <c r="L38" s="579" t="s">
        <v>830</v>
      </c>
    </row>
    <row r="39" spans="2:12" ht="50.25" customHeight="1" x14ac:dyDescent="0.25">
      <c r="B39" s="206"/>
      <c r="C39" s="36" t="s">
        <v>381</v>
      </c>
      <c r="D39" s="12">
        <f>SUM(D34:D38)</f>
        <v>152500</v>
      </c>
      <c r="E39" s="12">
        <f>SUM(E34:E38)</f>
        <v>11000</v>
      </c>
      <c r="F39" s="12">
        <f>SUM(F34:F38)</f>
        <v>0</v>
      </c>
      <c r="G39" s="13">
        <f>SUM(G34:G38)</f>
        <v>163500</v>
      </c>
      <c r="H39" s="48">
        <f>(H34*G34)+(H35*G35)+(H36*G36)+(H37*G37)+(H38*G38)</f>
        <v>51375</v>
      </c>
      <c r="I39" s="48">
        <f>SUM(I34:I38)</f>
        <v>92187</v>
      </c>
      <c r="J39" s="48">
        <f>SUM(J34:J38)</f>
        <v>1210.4910115374296</v>
      </c>
      <c r="K39" s="82">
        <f>SUM(K34:K38)</f>
        <v>93397.491011537437</v>
      </c>
      <c r="L39" s="206" t="s">
        <v>817</v>
      </c>
    </row>
    <row r="40" spans="2:12" ht="51" customHeight="1" x14ac:dyDescent="0.25">
      <c r="B40" s="34" t="s">
        <v>370</v>
      </c>
      <c r="C40" s="827" t="s">
        <v>540</v>
      </c>
      <c r="D40" s="828"/>
      <c r="E40" s="828"/>
      <c r="F40" s="828"/>
      <c r="G40" s="828"/>
      <c r="H40" s="828"/>
      <c r="I40" s="829"/>
      <c r="J40" s="829"/>
      <c r="K40" s="829"/>
      <c r="L40" s="206"/>
    </row>
    <row r="41" spans="2:12" ht="112.5" x14ac:dyDescent="0.3">
      <c r="B41" s="35" t="s">
        <v>371</v>
      </c>
      <c r="C41" s="179" t="s">
        <v>534</v>
      </c>
      <c r="D41" s="470">
        <f>Répartition_Final!E79</f>
        <v>52000</v>
      </c>
      <c r="E41" s="11">
        <f>Répartition_Final!F79</f>
        <v>3000</v>
      </c>
      <c r="F41" s="11"/>
      <c r="G41" s="60">
        <f>SUM(D41:F41)</f>
        <v>55000</v>
      </c>
      <c r="H41" s="58">
        <v>0.4</v>
      </c>
      <c r="I41" s="572">
        <v>45500</v>
      </c>
      <c r="J41" s="572"/>
      <c r="K41" s="507">
        <f>I41+J41</f>
        <v>45500</v>
      </c>
      <c r="L41" s="579" t="s">
        <v>831</v>
      </c>
    </row>
    <row r="42" spans="2:12" ht="168.75" customHeight="1" x14ac:dyDescent="0.3">
      <c r="B42" s="35" t="s">
        <v>372</v>
      </c>
      <c r="C42" s="179" t="s">
        <v>541</v>
      </c>
      <c r="D42" s="470">
        <f>Répartition_Final!E83</f>
        <v>190000</v>
      </c>
      <c r="E42" s="11">
        <f>Répartition_Final!F83</f>
        <v>0</v>
      </c>
      <c r="F42" s="11"/>
      <c r="G42" s="60">
        <f t="shared" ref="G42:G43" si="7">SUM(D42:F42)</f>
        <v>190000</v>
      </c>
      <c r="H42" s="58">
        <v>0.4</v>
      </c>
      <c r="I42" s="572">
        <v>21257</v>
      </c>
      <c r="J42" s="572"/>
      <c r="K42" s="507">
        <f t="shared" ref="K42:K43" si="8">I42+J42</f>
        <v>21257</v>
      </c>
      <c r="L42" s="579" t="s">
        <v>832</v>
      </c>
    </row>
    <row r="43" spans="2:12" ht="78" customHeight="1" x14ac:dyDescent="0.25">
      <c r="B43" s="35" t="s">
        <v>373</v>
      </c>
      <c r="C43" s="179" t="s">
        <v>533</v>
      </c>
      <c r="D43" s="491">
        <f>Répartition_Final!E85</f>
        <v>13869.158878504531</v>
      </c>
      <c r="E43" s="11">
        <f>Répartition_Final!F85</f>
        <v>2000</v>
      </c>
      <c r="F43" s="11"/>
      <c r="G43" s="60">
        <f t="shared" si="7"/>
        <v>15869.158878504531</v>
      </c>
      <c r="H43" s="58">
        <v>0.4</v>
      </c>
      <c r="I43" s="572">
        <v>3969</v>
      </c>
      <c r="J43" s="572"/>
      <c r="K43" s="507">
        <f t="shared" si="8"/>
        <v>3969</v>
      </c>
      <c r="L43" s="206"/>
    </row>
    <row r="44" spans="2:12" ht="45" customHeight="1" x14ac:dyDescent="0.25">
      <c r="B44" s="206"/>
      <c r="C44" s="36" t="s">
        <v>381</v>
      </c>
      <c r="D44" s="12">
        <f>SUM(D41:D43)</f>
        <v>255869.15887850453</v>
      </c>
      <c r="E44" s="12">
        <f>SUM(E41:E43)</f>
        <v>5000</v>
      </c>
      <c r="F44" s="12">
        <f>SUM(F41:F43)</f>
        <v>0</v>
      </c>
      <c r="G44" s="12">
        <f>SUM(G41:G43)</f>
        <v>260869.15887850453</v>
      </c>
      <c r="H44" s="48">
        <f>(H41*G41)+(H42*G42)+(H43*G43)</f>
        <v>104347.66355140181</v>
      </c>
      <c r="I44" s="48">
        <f>SUM(I41:I43)</f>
        <v>70726</v>
      </c>
      <c r="J44" s="48"/>
      <c r="K44" s="507">
        <f>SUM(K41:K43)</f>
        <v>70726</v>
      </c>
      <c r="L44" s="206" t="s">
        <v>818</v>
      </c>
    </row>
    <row r="45" spans="2:12" ht="36.75" customHeight="1" x14ac:dyDescent="0.25">
      <c r="B45" s="4"/>
      <c r="C45" s="7"/>
      <c r="D45" s="14"/>
      <c r="E45" s="14"/>
      <c r="F45" s="14"/>
      <c r="G45" s="14"/>
      <c r="H45" s="14"/>
      <c r="I45" s="14"/>
      <c r="J45" s="14"/>
      <c r="K45" s="490"/>
      <c r="L45" s="206"/>
    </row>
    <row r="46" spans="2:12" ht="63.75" customHeight="1" x14ac:dyDescent="0.25">
      <c r="B46" s="36" t="s">
        <v>374</v>
      </c>
      <c r="C46" s="10"/>
      <c r="D46" s="481">
        <f>Répartition_Final!E89</f>
        <v>30000</v>
      </c>
      <c r="E46" s="15">
        <f>Répartition_Final!F89</f>
        <v>45000</v>
      </c>
      <c r="F46" s="15"/>
      <c r="G46" s="49">
        <f>SUM(D46:F46)</f>
        <v>75000</v>
      </c>
      <c r="H46" s="59">
        <v>0.4</v>
      </c>
      <c r="I46" s="574">
        <v>3267</v>
      </c>
      <c r="J46" s="481">
        <v>33451.338341829891</v>
      </c>
      <c r="K46" s="509">
        <f>I46+J46</f>
        <v>36718.338341829891</v>
      </c>
      <c r="L46" s="206"/>
    </row>
    <row r="47" spans="2:12" ht="69.75" customHeight="1" x14ac:dyDescent="0.25">
      <c r="B47" s="36" t="s">
        <v>375</v>
      </c>
      <c r="C47" s="10"/>
      <c r="D47" s="481">
        <f>Répartition_Final!E90</f>
        <v>184626.16822429909</v>
      </c>
      <c r="E47" s="15">
        <f>Répartition_Final!F90</f>
        <v>25373.831775700906</v>
      </c>
      <c r="F47" s="15"/>
      <c r="G47" s="49">
        <f>SUM(D47:F47)</f>
        <v>210000</v>
      </c>
      <c r="H47" s="59">
        <v>0.35</v>
      </c>
      <c r="I47" s="574">
        <v>113539</v>
      </c>
      <c r="J47" s="571">
        <v>26983.819938288165</v>
      </c>
      <c r="K47" s="509">
        <f>I47+J47</f>
        <v>140522.81993828816</v>
      </c>
      <c r="L47" s="206"/>
    </row>
    <row r="48" spans="2:12" ht="57" customHeight="1" x14ac:dyDescent="0.25">
      <c r="B48" s="36" t="s">
        <v>376</v>
      </c>
      <c r="C48" s="53"/>
      <c r="D48" s="481">
        <f>Répartition_Final!E91</f>
        <v>40000</v>
      </c>
      <c r="E48" s="15">
        <f>Répartition_Final!F91</f>
        <v>15000</v>
      </c>
      <c r="F48" s="15"/>
      <c r="G48" s="49">
        <f>SUM(D48:F48)</f>
        <v>55000</v>
      </c>
      <c r="H48" s="59">
        <v>0.35</v>
      </c>
      <c r="I48" s="574">
        <v>15736</v>
      </c>
      <c r="J48" s="481">
        <v>14732.36495572847</v>
      </c>
      <c r="K48" s="509">
        <f>I48+J48</f>
        <v>30468.36495572847</v>
      </c>
      <c r="L48" s="206"/>
    </row>
    <row r="49" spans="1:12" ht="49.9" customHeight="1" x14ac:dyDescent="0.25">
      <c r="B49" s="54" t="s">
        <v>377</v>
      </c>
      <c r="C49" s="10"/>
      <c r="D49" s="481">
        <f>Répartition_Final!E92</f>
        <v>35000</v>
      </c>
      <c r="E49" s="15">
        <f>Répartition_Final!F92</f>
        <v>0</v>
      </c>
      <c r="F49" s="15"/>
      <c r="G49" s="49">
        <f>SUM(D49:F49)</f>
        <v>35000</v>
      </c>
      <c r="H49" s="59">
        <v>0.35</v>
      </c>
      <c r="I49" s="574">
        <v>0</v>
      </c>
      <c r="J49" s="481">
        <v>0</v>
      </c>
      <c r="K49" s="509">
        <f>I49+J49</f>
        <v>0</v>
      </c>
      <c r="L49" s="206"/>
    </row>
    <row r="50" spans="1:12" ht="48" customHeight="1" x14ac:dyDescent="0.25">
      <c r="B50" s="515"/>
      <c r="C50" s="55" t="s">
        <v>382</v>
      </c>
      <c r="D50" s="61">
        <f>SUM(D46:D49)</f>
        <v>289626.16822429909</v>
      </c>
      <c r="E50" s="61">
        <f>SUM(E46:E49)</f>
        <v>85373.831775700906</v>
      </c>
      <c r="F50" s="61">
        <f>SUM(F46:F49)</f>
        <v>0</v>
      </c>
      <c r="G50" s="61">
        <f>SUM(G46:G49)</f>
        <v>375000</v>
      </c>
      <c r="H50" s="48">
        <f>(H46*G46)+(H47*G47)+(H48*G48)+(H49*G49)</f>
        <v>135000</v>
      </c>
      <c r="I50" s="48">
        <f>SUM(I46:I49)</f>
        <v>132542</v>
      </c>
      <c r="J50" s="61">
        <f>SUM(J46:J49)</f>
        <v>75167.523235846529</v>
      </c>
      <c r="K50" s="82">
        <f>I50+J50</f>
        <v>207709.52323584654</v>
      </c>
      <c r="L50" s="206" t="s">
        <v>819</v>
      </c>
    </row>
    <row r="51" spans="1:12" ht="15.75" customHeight="1" x14ac:dyDescent="0.25">
      <c r="B51" s="4"/>
      <c r="C51" s="7"/>
      <c r="D51" s="14"/>
      <c r="E51" s="14"/>
      <c r="F51" s="14"/>
      <c r="G51" s="14"/>
      <c r="H51" s="14"/>
      <c r="I51" s="490"/>
      <c r="J51" s="490"/>
      <c r="K51" s="490"/>
      <c r="L51" s="492"/>
    </row>
    <row r="52" spans="1:12" ht="15.75" customHeight="1" x14ac:dyDescent="0.25">
      <c r="B52" s="832"/>
      <c r="C52" s="832"/>
      <c r="D52" s="832"/>
      <c r="E52" s="832"/>
      <c r="F52" s="832"/>
      <c r="G52" s="832"/>
      <c r="H52" s="832"/>
      <c r="I52" s="822" t="s">
        <v>811</v>
      </c>
      <c r="J52" s="822"/>
      <c r="K52" s="822"/>
      <c r="L52" s="822"/>
    </row>
    <row r="53" spans="1:12" ht="15.75" customHeight="1" thickBot="1" x14ac:dyDescent="0.3">
      <c r="B53" s="832"/>
      <c r="C53" s="832"/>
      <c r="D53" s="832"/>
      <c r="E53" s="832"/>
      <c r="F53" s="832"/>
      <c r="G53" s="832"/>
      <c r="H53" s="832"/>
      <c r="I53" s="822"/>
      <c r="J53" s="822"/>
      <c r="K53" s="822"/>
      <c r="L53" s="822"/>
    </row>
    <row r="54" spans="1:12" ht="15.75" x14ac:dyDescent="0.25">
      <c r="B54" s="4"/>
      <c r="C54" s="819" t="s">
        <v>391</v>
      </c>
      <c r="D54" s="820"/>
      <c r="E54" s="820"/>
      <c r="F54" s="820"/>
      <c r="G54" s="821"/>
      <c r="H54" s="9"/>
      <c r="I54" s="493"/>
      <c r="J54" s="493"/>
      <c r="K54" s="493"/>
      <c r="L54" s="69"/>
    </row>
    <row r="55" spans="1:12" ht="73.5" customHeight="1" thickBot="1" x14ac:dyDescent="0.3">
      <c r="B55" s="3"/>
      <c r="C55" s="76"/>
      <c r="D55" s="81" t="str">
        <f>D5</f>
        <v>PNUD
(budget en USD)</v>
      </c>
      <c r="E55" s="81" t="str">
        <f t="shared" ref="E55:F55" si="9">E5</f>
        <v>MSIS-tatao
(budget en USD)</v>
      </c>
      <c r="F55" s="81" t="str">
        <f t="shared" si="9"/>
        <v>Organisation recipiendiaire 3 (budget en USD)</v>
      </c>
      <c r="G55" s="77" t="s">
        <v>1</v>
      </c>
      <c r="H55" s="3"/>
      <c r="I55" s="81" t="str">
        <f>I5</f>
        <v>Niveau de depense actuel en USD  -PNUD</v>
      </c>
      <c r="J55" s="81" t="str">
        <f t="shared" ref="J55:K55" si="10">J5</f>
        <v>Niveau de depense/ engagement actuel en USD  - MSIS TATAO</v>
      </c>
      <c r="K55" s="502" t="str">
        <f t="shared" si="10"/>
        <v xml:space="preserve">Niveau de depense TOTAL/ engagement actuel en USD  </v>
      </c>
      <c r="L55" s="69"/>
    </row>
    <row r="56" spans="1:12" ht="50.25" customHeight="1" x14ac:dyDescent="0.25">
      <c r="B56" s="3"/>
      <c r="C56" s="50" t="s">
        <v>383</v>
      </c>
      <c r="D56" s="37">
        <f>SUM(D13,D18,D24,D30,D39,D44,D46,D47,D48,D49)</f>
        <v>1121495.3271028036</v>
      </c>
      <c r="E56" s="37">
        <f>SUM(E13,E18,E24,E30,E39,E44,E46,E47,E48,E49)</f>
        <v>280373.83177570091</v>
      </c>
      <c r="F56" s="37">
        <f>SUM(F13,F18,F24,F30,F39,F44,F46,F47,F48,F49)</f>
        <v>0</v>
      </c>
      <c r="G56" s="51">
        <f>SUM(D56:F56)</f>
        <v>1401869.1588785045</v>
      </c>
      <c r="H56" s="530"/>
      <c r="I56" s="566">
        <f>I13+I18+I24+I30+I39+I44+I50</f>
        <v>603400.47</v>
      </c>
      <c r="J56" s="566">
        <f>J13+J18+J24+J30+J39+J44+J50</f>
        <v>172149.69682318217</v>
      </c>
      <c r="K56" s="510">
        <f>I56+J56</f>
        <v>775550.16682318214</v>
      </c>
      <c r="L56" s="823"/>
    </row>
    <row r="57" spans="1:12" ht="54.75" customHeight="1" x14ac:dyDescent="0.25">
      <c r="B57" s="3"/>
      <c r="C57" s="72" t="s">
        <v>384</v>
      </c>
      <c r="D57" s="37">
        <f>D56*0.07</f>
        <v>78504.672897196258</v>
      </c>
      <c r="E57" s="37">
        <f>E56*0.07</f>
        <v>19626.168224299065</v>
      </c>
      <c r="F57" s="37">
        <f>F56*0.07</f>
        <v>0</v>
      </c>
      <c r="G57" s="51">
        <f>G56*0.07</f>
        <v>98130.841121495323</v>
      </c>
      <c r="H57" s="530"/>
      <c r="I57" s="482">
        <v>42182.8</v>
      </c>
      <c r="J57" s="482">
        <f>+J56*0.07</f>
        <v>12050.478777622753</v>
      </c>
      <c r="K57" s="511">
        <f>I57+J57</f>
        <v>54233.278777622756</v>
      </c>
      <c r="L57" s="823"/>
    </row>
    <row r="58" spans="1:12" ht="51.75" customHeight="1" thickBot="1" x14ac:dyDescent="0.3">
      <c r="B58" s="3"/>
      <c r="C58" s="17" t="s">
        <v>1</v>
      </c>
      <c r="D58" s="42">
        <f>SUM(D56:D57)</f>
        <v>1200000</v>
      </c>
      <c r="E58" s="42">
        <f>SUM(E56:E57)</f>
        <v>300000</v>
      </c>
      <c r="F58" s="42">
        <f>SUM(F56:F57)</f>
        <v>0</v>
      </c>
      <c r="G58" s="52">
        <f>SUM(G56:G57)</f>
        <v>1499999.9999999998</v>
      </c>
      <c r="H58" s="3"/>
      <c r="I58" s="567">
        <f>SUM(I56:I57)</f>
        <v>645583.27</v>
      </c>
      <c r="J58" s="567">
        <f>SUM(J56:J57)</f>
        <v>184200.17560080491</v>
      </c>
      <c r="K58" s="512">
        <f>SUM(K56:K57)</f>
        <v>829783.44560080487</v>
      </c>
      <c r="L58" s="823"/>
    </row>
    <row r="59" spans="1:12" ht="42" customHeight="1" thickBot="1" x14ac:dyDescent="0.3">
      <c r="B59" s="68"/>
      <c r="C59" s="68"/>
      <c r="D59" s="68"/>
      <c r="E59" s="68"/>
      <c r="F59" s="68"/>
      <c r="G59" s="68"/>
      <c r="H59" s="220" t="s">
        <v>566</v>
      </c>
      <c r="I59" s="483">
        <f>I58/D58</f>
        <v>0.53798605833333335</v>
      </c>
      <c r="J59" s="484">
        <f>J58/E58</f>
        <v>0.61400058533601642</v>
      </c>
      <c r="K59" s="513">
        <f>K58/G58</f>
        <v>0.55318896373387005</v>
      </c>
      <c r="L59" s="823"/>
    </row>
    <row r="60" spans="1:12" s="22" customFormat="1" ht="29.25" customHeight="1" thickBot="1" x14ac:dyDescent="0.3">
      <c r="A60" s="21"/>
      <c r="B60" s="68"/>
      <c r="C60" s="68"/>
      <c r="D60" s="68"/>
      <c r="E60" s="68"/>
      <c r="F60" s="68"/>
      <c r="G60" s="68"/>
      <c r="H60" s="18"/>
      <c r="I60" s="68"/>
      <c r="J60" s="68"/>
      <c r="K60" s="69"/>
    </row>
    <row r="61" spans="1:12" ht="51" customHeight="1" x14ac:dyDescent="0.25">
      <c r="B61" s="1"/>
      <c r="C61" s="811" t="s">
        <v>385</v>
      </c>
      <c r="D61" s="812"/>
      <c r="E61" s="813"/>
      <c r="F61" s="813"/>
      <c r="G61" s="813"/>
      <c r="H61" s="814"/>
      <c r="L61" s="535"/>
    </row>
    <row r="62" spans="1:12" ht="51.75" customHeight="1" x14ac:dyDescent="0.25">
      <c r="B62" s="1"/>
      <c r="C62" s="38"/>
      <c r="D62" s="81" t="str">
        <f>D5</f>
        <v>PNUD
(budget en USD)</v>
      </c>
      <c r="E62" s="81" t="str">
        <f t="shared" ref="E62:F62" si="11">E5</f>
        <v>MSIS-tatao
(budget en USD)</v>
      </c>
      <c r="F62" s="81" t="str">
        <f t="shared" si="11"/>
        <v>Organisation recipiendiaire 3 (budget en USD)</v>
      </c>
      <c r="G62" s="78" t="s">
        <v>1</v>
      </c>
      <c r="H62" s="79" t="s">
        <v>0</v>
      </c>
    </row>
    <row r="63" spans="1:12" ht="55.5" customHeight="1" x14ac:dyDescent="0.25">
      <c r="B63" s="1"/>
      <c r="C63" s="16" t="s">
        <v>386</v>
      </c>
      <c r="D63" s="40">
        <f>$D$58*H63</f>
        <v>780000</v>
      </c>
      <c r="E63" s="41">
        <f>$E$58*H63</f>
        <v>195000</v>
      </c>
      <c r="F63" s="41">
        <f>$F$58*H63</f>
        <v>0</v>
      </c>
      <c r="G63" s="41">
        <f>SUM(D63:F63)</f>
        <v>975000</v>
      </c>
      <c r="H63" s="62">
        <v>0.65</v>
      </c>
    </row>
    <row r="64" spans="1:12" ht="57.75" customHeight="1" x14ac:dyDescent="0.25">
      <c r="B64" s="810"/>
      <c r="C64" s="56" t="s">
        <v>387</v>
      </c>
      <c r="D64" s="40">
        <f>$D$58*H64</f>
        <v>420000</v>
      </c>
      <c r="E64" s="41">
        <f>$E$58*H64</f>
        <v>105000</v>
      </c>
      <c r="F64" s="41">
        <f>$F$58*H64</f>
        <v>0</v>
      </c>
      <c r="G64" s="57">
        <f>SUM(D64:F64)</f>
        <v>525000</v>
      </c>
      <c r="H64" s="63">
        <v>0.35</v>
      </c>
    </row>
    <row r="65" spans="2:10" ht="57.75" customHeight="1" x14ac:dyDescent="0.25">
      <c r="B65" s="810"/>
      <c r="C65" s="56" t="s">
        <v>388</v>
      </c>
      <c r="D65" s="40">
        <f>$D$58*H65</f>
        <v>0</v>
      </c>
      <c r="E65" s="41">
        <f>$E$58*H65</f>
        <v>0</v>
      </c>
      <c r="F65" s="41">
        <f>$F$58*H65</f>
        <v>0</v>
      </c>
      <c r="G65" s="57">
        <f>SUM(D65:F65)</f>
        <v>0</v>
      </c>
      <c r="H65" s="64">
        <v>0</v>
      </c>
    </row>
    <row r="66" spans="2:10" ht="38.25" customHeight="1" thickBot="1" x14ac:dyDescent="0.3">
      <c r="B66" s="810"/>
      <c r="C66" s="17" t="s">
        <v>1</v>
      </c>
      <c r="D66" s="42">
        <f>SUM(D63:D65)</f>
        <v>1200000</v>
      </c>
      <c r="E66" s="42">
        <f>SUM(E63:E65)</f>
        <v>300000</v>
      </c>
      <c r="F66" s="42">
        <f>SUM(F63:F65)</f>
        <v>0</v>
      </c>
      <c r="G66" s="42">
        <f>SUM(G63:G65)</f>
        <v>1500000</v>
      </c>
      <c r="H66" s="43">
        <f>SUM(H63:H65)</f>
        <v>1</v>
      </c>
    </row>
    <row r="67" spans="2:10" ht="31.5" customHeight="1" thickBot="1" x14ac:dyDescent="0.3">
      <c r="B67" s="810"/>
      <c r="C67" s="2"/>
      <c r="D67" s="5"/>
      <c r="E67" s="5"/>
      <c r="F67" s="5"/>
      <c r="G67" s="5"/>
      <c r="H67" s="5"/>
    </row>
    <row r="68" spans="2:10" ht="49.5" customHeight="1" x14ac:dyDescent="0.25">
      <c r="B68" s="810"/>
      <c r="C68" s="44" t="s">
        <v>393</v>
      </c>
      <c r="D68" s="45">
        <f>SUM(H13,H18,H24,H30,H39,H44,H50)*1.07</f>
        <v>555274</v>
      </c>
      <c r="E68" s="23"/>
      <c r="F68" s="73" t="s">
        <v>395</v>
      </c>
      <c r="G68" s="74">
        <f>K58</f>
        <v>829783.44560080487</v>
      </c>
    </row>
    <row r="69" spans="2:10" ht="42.75" customHeight="1" thickBot="1" x14ac:dyDescent="0.3">
      <c r="B69" s="810"/>
      <c r="C69" s="46" t="s">
        <v>389</v>
      </c>
      <c r="D69" s="66">
        <f>D68/G58</f>
        <v>0.37018266666666672</v>
      </c>
      <c r="E69" s="23"/>
      <c r="F69" s="75" t="s">
        <v>396</v>
      </c>
      <c r="G69" s="217">
        <f>G68/G66</f>
        <v>0.55318896373386994</v>
      </c>
    </row>
    <row r="70" spans="2:10" ht="28.5" customHeight="1" x14ac:dyDescent="0.25">
      <c r="B70" s="810"/>
      <c r="C70" s="817"/>
      <c r="D70" s="818"/>
      <c r="E70" s="23"/>
      <c r="F70" s="23"/>
      <c r="G70" s="23"/>
    </row>
    <row r="71" spans="2:10" ht="43.5" customHeight="1" x14ac:dyDescent="0.25">
      <c r="B71" s="810"/>
      <c r="C71" s="46" t="s">
        <v>394</v>
      </c>
      <c r="D71" s="47">
        <f>SUM(D48:F49)*1.07</f>
        <v>96300</v>
      </c>
      <c r="E71" s="23"/>
      <c r="F71" s="23"/>
      <c r="G71" s="23"/>
    </row>
    <row r="72" spans="2:10" ht="45.75" customHeight="1" x14ac:dyDescent="0.25">
      <c r="B72" s="810"/>
      <c r="C72" s="46" t="s">
        <v>390</v>
      </c>
      <c r="D72" s="66">
        <f>D71/G58</f>
        <v>6.4200000000000007E-2</v>
      </c>
      <c r="E72" s="23"/>
      <c r="F72" s="23"/>
      <c r="G72" s="23"/>
    </row>
    <row r="73" spans="2:10" ht="66.75" customHeight="1" thickBot="1" x14ac:dyDescent="0.3">
      <c r="B73" s="810"/>
      <c r="C73" s="815" t="s">
        <v>392</v>
      </c>
      <c r="D73" s="816"/>
      <c r="E73" s="23"/>
      <c r="F73" s="23"/>
      <c r="G73" s="68"/>
      <c r="H73" s="23"/>
      <c r="I73" s="69"/>
      <c r="J73" s="69"/>
    </row>
  </sheetData>
  <sheetProtection formatCells="0" formatColumns="0" formatRows="0"/>
  <protectedRanges>
    <protectedRange sqref="I5" name="Range1"/>
  </protectedRanges>
  <mergeCells count="20">
    <mergeCell ref="B2:E2"/>
    <mergeCell ref="B3:H3"/>
    <mergeCell ref="C14:K14"/>
    <mergeCell ref="C8:K8"/>
    <mergeCell ref="C25:K25"/>
    <mergeCell ref="I52:L53"/>
    <mergeCell ref="L56:L59"/>
    <mergeCell ref="C7:K7"/>
    <mergeCell ref="C20:K20"/>
    <mergeCell ref="C21:K21"/>
    <mergeCell ref="C32:K32"/>
    <mergeCell ref="C33:K33"/>
    <mergeCell ref="C40:K40"/>
    <mergeCell ref="B52:E53"/>
    <mergeCell ref="F52:H53"/>
    <mergeCell ref="B64:B73"/>
    <mergeCell ref="C61:H61"/>
    <mergeCell ref="C73:D73"/>
    <mergeCell ref="C70:D70"/>
    <mergeCell ref="C54:G54"/>
  </mergeCells>
  <conditionalFormatting sqref="D69">
    <cfRule type="cellIs" dxfId="7" priority="46" operator="lessThan">
      <formula>0.15</formula>
    </cfRule>
  </conditionalFormatting>
  <conditionalFormatting sqref="D72">
    <cfRule type="cellIs" dxfId="6" priority="44" operator="lessThan">
      <formula>0.05</formula>
    </cfRule>
  </conditionalFormatting>
  <conditionalFormatting sqref="H66">
    <cfRule type="cellIs" dxfId="5" priority="1" operator="greaterThan">
      <formula>1</formula>
    </cfRule>
  </conditionalFormatting>
  <dataValidations xWindow="431" yWindow="475" count="5">
    <dataValidation allowBlank="1" showInputMessage="1" showErrorMessage="1" prompt="M&amp;E Budget Cannot be Less than 5%_x000a_" sqref="E72:G72" xr:uid="{00000000-0002-0000-0300-000000000000}"/>
    <dataValidation allowBlank="1" showInputMessage="1" showErrorMessage="1" prompt="Insert *text* description of Outcome here" sqref="C7:K7 C20:K20 C32:K32" xr:uid="{00000000-0002-0000-0300-000001000000}"/>
    <dataValidation allowBlank="1" showInputMessage="1" showErrorMessage="1" prompt="Insert *text* description of Output here" sqref="C8 C14 C21 C25 C33 C40" xr:uid="{00000000-0002-0000-0300-000002000000}"/>
    <dataValidation allowBlank="1" showInputMessage="1" showErrorMessage="1" prompt="Insert *text* description of Activity here" sqref="C9 C15 C22 C26 C34 C41" xr:uid="{00000000-0002-0000-0300-000003000000}"/>
    <dataValidation allowBlank="1" showErrorMessage="1" prompt="% Towards Gender Equality and Women's Empowerment Must be Higher than 15%_x000a_" sqref="D71:G71 D69" xr:uid="{00000000-0002-0000-0300-000004000000}"/>
  </dataValidations>
  <pageMargins left="0.20866141699999999" right="0.25" top="0.25" bottom="0.25" header="0.31496062992126" footer="0.31496062992126"/>
  <pageSetup scale="15" fitToHeight="5" orientation="landscape" r:id="rId1"/>
  <rowBreaks count="1" manualBreakCount="1">
    <brk id="58"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0"/>
    <pageSetUpPr fitToPage="1"/>
  </sheetPr>
  <dimension ref="A1:O134"/>
  <sheetViews>
    <sheetView tabSelected="1" zoomScale="75" zoomScaleNormal="75" workbookViewId="0">
      <pane xSplit="1" ySplit="4" topLeftCell="B6" activePane="bottomRight" state="frozen"/>
      <selection pane="topRight" activeCell="B1" sqref="B1"/>
      <selection pane="bottomLeft" activeCell="A5" sqref="A5"/>
      <selection pane="bottomRight" activeCell="K9" sqref="K9"/>
    </sheetView>
  </sheetViews>
  <sheetFormatPr baseColWidth="10" defaultColWidth="9.140625" defaultRowHeight="15.75" x14ac:dyDescent="0.25"/>
  <cols>
    <col min="1" max="1" width="4.42578125" style="25" customWidth="1"/>
    <col min="2" max="2" width="13.85546875" style="26" customWidth="1"/>
    <col min="3" max="3" width="45.7109375" style="26" customWidth="1"/>
    <col min="4" max="4" width="23.7109375" style="26" customWidth="1"/>
    <col min="5" max="5" width="25.7109375" style="25" customWidth="1"/>
    <col min="6" max="6" width="21.42578125" style="25" customWidth="1"/>
    <col min="7" max="7" width="22.7109375" style="25" customWidth="1"/>
    <col min="8" max="8" width="21.7109375" style="25" customWidth="1"/>
    <col min="9" max="9" width="19" style="475" customWidth="1"/>
    <col min="10" max="10" width="15.28515625" style="25" customWidth="1"/>
    <col min="11" max="11" width="16.5703125" style="25" customWidth="1"/>
    <col min="12" max="12" width="15.85546875" style="27" customWidth="1"/>
    <col min="13" max="13" width="24.28515625" style="25" customWidth="1"/>
    <col min="14" max="14" width="26.42578125" style="25" customWidth="1"/>
    <col min="15" max="15" width="30.140625" style="25" customWidth="1"/>
    <col min="16" max="16" width="33" style="25" customWidth="1"/>
    <col min="17" max="18" width="22.7109375" style="25" customWidth="1"/>
    <col min="19" max="19" width="23.42578125" style="25" customWidth="1"/>
    <col min="20" max="20" width="32.140625" style="25" customWidth="1"/>
    <col min="21" max="21" width="9.140625" style="25"/>
    <col min="22" max="22" width="17.7109375" style="25" customWidth="1"/>
    <col min="23" max="23" width="26.42578125" style="25" customWidth="1"/>
    <col min="24" max="24" width="22.42578125" style="25" customWidth="1"/>
    <col min="25" max="25" width="29.7109375" style="25" customWidth="1"/>
    <col min="26" max="26" width="23.42578125" style="25" customWidth="1"/>
    <col min="27" max="27" width="18.42578125" style="25" customWidth="1"/>
    <col min="28" max="28" width="17.42578125" style="25" customWidth="1"/>
    <col min="29" max="29" width="25.140625" style="25" customWidth="1"/>
    <col min="30" max="16384" width="9.140625" style="25"/>
  </cols>
  <sheetData>
    <row r="1" spans="1:13" ht="47.25" thickBot="1" x14ac:dyDescent="0.75">
      <c r="A1" s="221"/>
      <c r="B1" s="221"/>
      <c r="C1" s="560"/>
      <c r="D1" s="561"/>
      <c r="E1" s="560"/>
      <c r="F1" s="561"/>
      <c r="G1" s="222"/>
      <c r="H1" s="222"/>
      <c r="I1" s="582"/>
    </row>
    <row r="2" spans="1:13" ht="21.75" thickBot="1" x14ac:dyDescent="0.4">
      <c r="A2" s="221"/>
      <c r="B2" s="221"/>
      <c r="C2" s="560"/>
      <c r="D2" s="854" t="s">
        <v>572</v>
      </c>
      <c r="E2" s="855"/>
      <c r="F2" s="856"/>
      <c r="G2" s="857" t="s">
        <v>573</v>
      </c>
      <c r="H2" s="858"/>
      <c r="I2" s="859"/>
    </row>
    <row r="3" spans="1:13" x14ac:dyDescent="0.25">
      <c r="A3" s="221"/>
      <c r="B3" s="221"/>
      <c r="C3" s="221"/>
      <c r="D3" s="223"/>
      <c r="E3" s="223"/>
      <c r="F3" s="221"/>
      <c r="G3" s="221"/>
      <c r="H3" s="221"/>
      <c r="I3" s="582"/>
    </row>
    <row r="4" spans="1:13" ht="31.5" x14ac:dyDescent="0.25">
      <c r="A4" s="221"/>
      <c r="B4" s="221"/>
      <c r="C4" s="221"/>
      <c r="D4" s="499" t="str">
        <f>'[1]1) RF par produit'!D5</f>
        <v>PNUD
(budget en USD)</v>
      </c>
      <c r="E4" s="499" t="str">
        <f>'[1]1) RF par produit'!E5</f>
        <v>MSIS-tatao
(budget en USD)</v>
      </c>
      <c r="F4" s="225" t="s">
        <v>574</v>
      </c>
      <c r="G4" s="225" t="s">
        <v>575</v>
      </c>
      <c r="H4" s="225" t="s">
        <v>576</v>
      </c>
      <c r="I4" s="583" t="s">
        <v>577</v>
      </c>
      <c r="M4" s="474"/>
    </row>
    <row r="5" spans="1:13" ht="26.25" customHeight="1" x14ac:dyDescent="0.25">
      <c r="A5" s="221"/>
      <c r="B5" s="837" t="s">
        <v>578</v>
      </c>
      <c r="C5" s="837"/>
      <c r="D5" s="837"/>
      <c r="E5" s="837"/>
      <c r="F5" s="837"/>
      <c r="G5" s="837"/>
      <c r="H5" s="837"/>
      <c r="I5" s="837"/>
      <c r="K5" s="475"/>
      <c r="M5" s="474"/>
    </row>
    <row r="6" spans="1:13" ht="26.25" customHeight="1" x14ac:dyDescent="0.25">
      <c r="A6" s="221"/>
      <c r="B6" s="221"/>
      <c r="C6" s="850" t="s">
        <v>579</v>
      </c>
      <c r="D6" s="851"/>
      <c r="E6" s="851"/>
      <c r="F6" s="851"/>
      <c r="G6" s="851"/>
      <c r="H6" s="851"/>
      <c r="I6" s="852"/>
      <c r="K6" s="475"/>
    </row>
    <row r="7" spans="1:13" ht="26.25" customHeight="1" thickBot="1" x14ac:dyDescent="0.3">
      <c r="A7" s="221"/>
      <c r="B7" s="221"/>
      <c r="C7" s="226" t="s">
        <v>580</v>
      </c>
      <c r="D7" s="227">
        <f>'[1]1) RF par produit'!D17</f>
        <v>96500</v>
      </c>
      <c r="E7" s="227">
        <f>'[1]1) RF par produit'!E17</f>
        <v>15000</v>
      </c>
      <c r="F7" s="228">
        <f>SUM(D7+E7)</f>
        <v>111500</v>
      </c>
      <c r="G7" s="229">
        <f>G15</f>
        <v>123491</v>
      </c>
      <c r="H7" s="229">
        <f>H15</f>
        <v>9732.82</v>
      </c>
      <c r="I7" s="501">
        <f>I15</f>
        <v>133223.82</v>
      </c>
      <c r="K7" s="475"/>
    </row>
    <row r="8" spans="1:13" ht="42.75" customHeight="1" x14ac:dyDescent="0.25">
      <c r="A8" s="221"/>
      <c r="B8" s="221"/>
      <c r="C8" s="230" t="s">
        <v>581</v>
      </c>
      <c r="D8" s="231"/>
      <c r="E8" s="310"/>
      <c r="F8" s="228">
        <f t="shared" ref="F8:F15" si="0">SUM(D8+E8)</f>
        <v>0</v>
      </c>
      <c r="G8" s="232"/>
      <c r="H8" s="311"/>
      <c r="I8" s="307">
        <f t="shared" ref="I8:I14" si="1">SUM(G8:H8)</f>
        <v>0</v>
      </c>
      <c r="K8" s="475"/>
    </row>
    <row r="9" spans="1:13" ht="33" customHeight="1" x14ac:dyDescent="0.25">
      <c r="A9" s="221"/>
      <c r="B9" s="221"/>
      <c r="C9" s="233" t="s">
        <v>582</v>
      </c>
      <c r="D9" s="486">
        <f>D7*3%</f>
        <v>2895</v>
      </c>
      <c r="E9" s="471">
        <f>E7*15%</f>
        <v>2250</v>
      </c>
      <c r="F9" s="228">
        <f t="shared" si="0"/>
        <v>5145</v>
      </c>
      <c r="G9" s="581">
        <v>886</v>
      </c>
      <c r="H9" s="551">
        <v>268.31</v>
      </c>
      <c r="I9" s="307">
        <f t="shared" si="1"/>
        <v>1154.31</v>
      </c>
      <c r="J9" s="308"/>
      <c r="K9" s="475"/>
    </row>
    <row r="10" spans="1:13" s="304" customFormat="1" ht="33" customHeight="1" x14ac:dyDescent="0.25">
      <c r="A10" s="301"/>
      <c r="B10" s="301"/>
      <c r="C10" s="233" t="s">
        <v>583</v>
      </c>
      <c r="D10" s="302"/>
      <c r="E10" s="472">
        <f>E7*25%</f>
        <v>3750</v>
      </c>
      <c r="F10" s="303">
        <f t="shared" si="0"/>
        <v>3750</v>
      </c>
      <c r="G10" s="581"/>
      <c r="H10" s="552">
        <v>2632.21</v>
      </c>
      <c r="I10" s="584">
        <f t="shared" si="1"/>
        <v>2632.21</v>
      </c>
      <c r="J10" s="473"/>
      <c r="K10" s="495"/>
      <c r="L10" s="1"/>
    </row>
    <row r="11" spans="1:13" ht="33" customHeight="1" x14ac:dyDescent="0.25">
      <c r="A11" s="221"/>
      <c r="B11" s="221"/>
      <c r="C11" s="235" t="s">
        <v>584</v>
      </c>
      <c r="D11" s="486">
        <f>D7*5%</f>
        <v>4825</v>
      </c>
      <c r="E11" s="471">
        <f>E7*60%</f>
        <v>9000</v>
      </c>
      <c r="F11" s="228">
        <f t="shared" si="0"/>
        <v>13825</v>
      </c>
      <c r="G11" s="581">
        <v>42559</v>
      </c>
      <c r="H11" s="551">
        <v>6832.3</v>
      </c>
      <c r="I11" s="307">
        <f t="shared" si="1"/>
        <v>49391.3</v>
      </c>
      <c r="K11" s="475"/>
    </row>
    <row r="12" spans="1:13" ht="33" customHeight="1" x14ac:dyDescent="0.25">
      <c r="A12" s="221"/>
      <c r="B12" s="221"/>
      <c r="C12" s="233" t="s">
        <v>585</v>
      </c>
      <c r="D12" s="486">
        <f>D7*5%</f>
        <v>4825</v>
      </c>
      <c r="E12" s="471"/>
      <c r="F12" s="228">
        <f t="shared" si="0"/>
        <v>4825</v>
      </c>
      <c r="G12" s="581">
        <v>1334</v>
      </c>
      <c r="H12" s="474">
        <v>0</v>
      </c>
      <c r="I12" s="307">
        <f t="shared" si="1"/>
        <v>1334</v>
      </c>
      <c r="J12" s="298"/>
      <c r="K12" s="475"/>
    </row>
    <row r="13" spans="1:13" ht="33" customHeight="1" x14ac:dyDescent="0.25">
      <c r="A13" s="221"/>
      <c r="B13" s="221"/>
      <c r="C13" s="233" t="s">
        <v>586</v>
      </c>
      <c r="D13" s="486">
        <f>D7*85%</f>
        <v>82025</v>
      </c>
      <c r="E13" s="234"/>
      <c r="F13" s="228">
        <f t="shared" si="0"/>
        <v>82025</v>
      </c>
      <c r="G13" s="545">
        <v>78399</v>
      </c>
      <c r="H13" s="553"/>
      <c r="I13" s="307">
        <f t="shared" si="1"/>
        <v>78399</v>
      </c>
      <c r="J13" s="474"/>
      <c r="K13" s="475"/>
      <c r="L13" s="474"/>
    </row>
    <row r="14" spans="1:13" ht="33" customHeight="1" x14ac:dyDescent="0.25">
      <c r="A14" s="221"/>
      <c r="B14" s="221"/>
      <c r="C14" s="233" t="s">
        <v>587</v>
      </c>
      <c r="D14" s="486">
        <f>D7*2%</f>
        <v>1930</v>
      </c>
      <c r="E14" s="234"/>
      <c r="F14" s="228">
        <f t="shared" si="0"/>
        <v>1930</v>
      </c>
      <c r="G14" s="545">
        <v>313</v>
      </c>
      <c r="H14" s="553"/>
      <c r="I14" s="307">
        <f t="shared" si="1"/>
        <v>313</v>
      </c>
      <c r="K14" s="475"/>
    </row>
    <row r="15" spans="1:13" ht="33" customHeight="1" x14ac:dyDescent="0.25">
      <c r="A15" s="221"/>
      <c r="B15" s="221"/>
      <c r="C15" s="236" t="s">
        <v>588</v>
      </c>
      <c r="D15" s="237">
        <f>SUM(D8:D14)</f>
        <v>96500</v>
      </c>
      <c r="E15" s="237">
        <f>SUM(E8:E14)</f>
        <v>15000</v>
      </c>
      <c r="F15" s="228">
        <f t="shared" si="0"/>
        <v>111500</v>
      </c>
      <c r="G15" s="313">
        <f>SUM(G8:G14)</f>
        <v>123491</v>
      </c>
      <c r="H15" s="313">
        <f>SUM(H8:H14)</f>
        <v>9732.82</v>
      </c>
      <c r="I15" s="539">
        <f>SUM(I8:I14)</f>
        <v>133223.82</v>
      </c>
      <c r="K15" s="475"/>
    </row>
    <row r="16" spans="1:13" x14ac:dyDescent="0.25">
      <c r="A16" s="238"/>
      <c r="B16" s="238"/>
      <c r="C16" s="238" t="s">
        <v>820</v>
      </c>
      <c r="D16" s="239"/>
      <c r="E16" s="239"/>
      <c r="F16" s="240"/>
      <c r="G16" s="554">
        <v>8711</v>
      </c>
      <c r="H16" s="238"/>
      <c r="I16" s="585"/>
      <c r="K16" s="475"/>
      <c r="L16" s="498"/>
    </row>
    <row r="17" spans="1:14" ht="30.75" customHeight="1" x14ac:dyDescent="0.25">
      <c r="A17" s="221"/>
      <c r="B17" s="221"/>
      <c r="C17" s="860" t="s">
        <v>589</v>
      </c>
      <c r="D17" s="861"/>
      <c r="E17" s="861"/>
      <c r="F17" s="862"/>
      <c r="G17" s="863"/>
      <c r="H17" s="864"/>
      <c r="I17" s="865"/>
      <c r="K17" s="531"/>
      <c r="L17" s="532"/>
      <c r="M17" s="474"/>
    </row>
    <row r="18" spans="1:14" ht="30.75" customHeight="1" thickBot="1" x14ac:dyDescent="0.3">
      <c r="A18" s="221"/>
      <c r="B18" s="221"/>
      <c r="C18" s="226" t="s">
        <v>590</v>
      </c>
      <c r="D18" s="227">
        <f>'[1]1) RF par produit'!D27</f>
        <v>242000</v>
      </c>
      <c r="E18" s="227">
        <f>'[1]1) RF par produit'!E27</f>
        <v>13000</v>
      </c>
      <c r="F18" s="228">
        <f>D18+E18</f>
        <v>255000</v>
      </c>
      <c r="G18" s="229">
        <f>G26</f>
        <v>97284</v>
      </c>
      <c r="H18" s="229">
        <f>H27</f>
        <v>0</v>
      </c>
      <c r="I18" s="501">
        <f>I26</f>
        <v>106346.29782667024</v>
      </c>
      <c r="K18" s="531"/>
      <c r="L18" s="475"/>
      <c r="M18" s="476"/>
    </row>
    <row r="19" spans="1:14" ht="30.75" customHeight="1" x14ac:dyDescent="0.25">
      <c r="A19" s="221"/>
      <c r="B19" s="221"/>
      <c r="C19" s="230" t="s">
        <v>581</v>
      </c>
      <c r="D19" s="231"/>
      <c r="E19" s="231"/>
      <c r="F19" s="228">
        <f t="shared" ref="F19:F26" si="2">D19+E19</f>
        <v>0</v>
      </c>
      <c r="G19" s="241"/>
      <c r="H19" s="241"/>
      <c r="I19" s="307">
        <f>SUM(G19:H19)</f>
        <v>0</v>
      </c>
      <c r="K19" s="531"/>
      <c r="L19" s="532"/>
      <c r="M19" s="534"/>
    </row>
    <row r="20" spans="1:14" ht="30.75" customHeight="1" x14ac:dyDescent="0.25">
      <c r="A20" s="221"/>
      <c r="B20" s="221"/>
      <c r="C20" s="233" t="s">
        <v>582</v>
      </c>
      <c r="D20" s="234"/>
      <c r="E20" s="234">
        <f>E18*15%</f>
        <v>1950</v>
      </c>
      <c r="F20" s="228">
        <f t="shared" si="2"/>
        <v>1950</v>
      </c>
      <c r="G20" s="241"/>
      <c r="H20" s="555">
        <f>+'[2]feuille categorie budgetaire'!C17</f>
        <v>160.98738932116984</v>
      </c>
      <c r="I20" s="307">
        <f t="shared" ref="I20:I25" si="3">SUM(G20:H20)</f>
        <v>160.98738932116984</v>
      </c>
      <c r="K20" s="531"/>
      <c r="L20" s="532"/>
      <c r="M20" s="533"/>
      <c r="N20" s="476"/>
    </row>
    <row r="21" spans="1:14" ht="30.75" customHeight="1" x14ac:dyDescent="0.25">
      <c r="A21" s="221"/>
      <c r="B21" s="221"/>
      <c r="C21" s="233" t="s">
        <v>583</v>
      </c>
      <c r="D21" s="486">
        <f>D18*2%</f>
        <v>4840</v>
      </c>
      <c r="E21" s="234">
        <f>E18*15%</f>
        <v>1950</v>
      </c>
      <c r="F21" s="228">
        <f t="shared" si="2"/>
        <v>6790</v>
      </c>
      <c r="G21" s="241"/>
      <c r="H21" s="556">
        <f>+'[2]feuille categorie budgetaire'!D17</f>
        <v>1974.7786423396833</v>
      </c>
      <c r="I21" s="307">
        <f t="shared" si="3"/>
        <v>1974.7786423396833</v>
      </c>
      <c r="J21" s="473"/>
      <c r="K21" s="531"/>
      <c r="L21" s="532"/>
    </row>
    <row r="22" spans="1:14" ht="30.75" customHeight="1" x14ac:dyDescent="0.25">
      <c r="A22" s="221"/>
      <c r="B22" s="221"/>
      <c r="C22" s="235" t="s">
        <v>584</v>
      </c>
      <c r="D22" s="486">
        <v>29040</v>
      </c>
      <c r="E22" s="234">
        <f>E18*55%</f>
        <v>7150.0000000000009</v>
      </c>
      <c r="F22" s="228">
        <f t="shared" si="2"/>
        <v>36190</v>
      </c>
      <c r="G22" s="241"/>
      <c r="H22" s="555">
        <f>+'[2]feuille categorie budgetaire'!E17</f>
        <v>5280.4867185403809</v>
      </c>
      <c r="I22" s="307">
        <f t="shared" si="3"/>
        <v>5280.4867185403809</v>
      </c>
      <c r="K22" s="531"/>
      <c r="L22" s="532"/>
      <c r="M22" s="474"/>
      <c r="N22" s="476"/>
    </row>
    <row r="23" spans="1:14" ht="30.75" customHeight="1" x14ac:dyDescent="0.25">
      <c r="A23" s="221"/>
      <c r="B23" s="221"/>
      <c r="C23" s="233" t="s">
        <v>585</v>
      </c>
      <c r="D23" s="486">
        <f>D18*4%</f>
        <v>9680</v>
      </c>
      <c r="E23" s="234">
        <f>E18*15%</f>
        <v>1950</v>
      </c>
      <c r="F23" s="228">
        <f t="shared" si="2"/>
        <v>11630</v>
      </c>
      <c r="G23" s="581">
        <v>7019</v>
      </c>
      <c r="H23" s="555">
        <f>+'[2]feuille categorie budgetaire'!F17</f>
        <v>1646.0450764690099</v>
      </c>
      <c r="I23" s="307">
        <f>SUM(G23:H23)</f>
        <v>8665.0450764690104</v>
      </c>
      <c r="K23" s="475"/>
      <c r="L23" s="532"/>
    </row>
    <row r="24" spans="1:14" ht="30.75" customHeight="1" x14ac:dyDescent="0.25">
      <c r="A24" s="221"/>
      <c r="B24" s="221"/>
      <c r="C24" s="233" t="s">
        <v>586</v>
      </c>
      <c r="D24" s="486">
        <f>D18*80%</f>
        <v>193600</v>
      </c>
      <c r="E24" s="234"/>
      <c r="F24" s="228">
        <f t="shared" si="2"/>
        <v>193600</v>
      </c>
      <c r="G24" s="545">
        <v>90265</v>
      </c>
      <c r="H24" s="557">
        <f>+'[2]feuille categorie budgetaire'!G17</f>
        <v>0</v>
      </c>
      <c r="I24" s="307">
        <f t="shared" si="3"/>
        <v>90265</v>
      </c>
      <c r="K24" s="475"/>
      <c r="L24" s="532"/>
      <c r="N24" s="298"/>
    </row>
    <row r="25" spans="1:14" ht="30.75" customHeight="1" x14ac:dyDescent="0.25">
      <c r="A25" s="221"/>
      <c r="B25" s="221"/>
      <c r="C25" s="233" t="s">
        <v>587</v>
      </c>
      <c r="D25" s="486">
        <f>D18*2%</f>
        <v>4840</v>
      </c>
      <c r="E25" s="234"/>
      <c r="F25" s="228">
        <f t="shared" si="2"/>
        <v>4840</v>
      </c>
      <c r="H25" s="557">
        <f>+'[2]feuille categorie budgetaire'!H17</f>
        <v>0</v>
      </c>
      <c r="I25" s="307">
        <f t="shared" si="3"/>
        <v>0</v>
      </c>
      <c r="K25" s="475"/>
    </row>
    <row r="26" spans="1:14" ht="30.75" customHeight="1" x14ac:dyDescent="0.25">
      <c r="A26" s="221"/>
      <c r="B26" s="221"/>
      <c r="C26" s="236" t="s">
        <v>588</v>
      </c>
      <c r="D26" s="237">
        <f>SUM(D19:D25)</f>
        <v>242000</v>
      </c>
      <c r="E26" s="237">
        <f>SUM(E19:E25)</f>
        <v>13000</v>
      </c>
      <c r="F26" s="228">
        <f t="shared" si="2"/>
        <v>255000</v>
      </c>
      <c r="G26" s="313">
        <f>SUM(G19:G24)</f>
        <v>97284</v>
      </c>
      <c r="H26" s="313">
        <f>SUM(H19:H25)</f>
        <v>9062.2978266702448</v>
      </c>
      <c r="I26" s="539">
        <f>SUM(I19:I25)</f>
        <v>106346.29782667024</v>
      </c>
      <c r="K26" s="475"/>
    </row>
    <row r="27" spans="1:14" ht="21.75" customHeight="1" x14ac:dyDescent="0.25">
      <c r="A27" s="238"/>
      <c r="B27" s="475"/>
      <c r="C27" s="529" t="s">
        <v>820</v>
      </c>
      <c r="D27" s="475"/>
      <c r="E27" s="475"/>
      <c r="F27" s="475"/>
      <c r="G27" s="558">
        <v>6760</v>
      </c>
      <c r="H27" s="475"/>
      <c r="K27" s="475"/>
    </row>
    <row r="28" spans="1:14" ht="22.5" customHeight="1" x14ac:dyDescent="0.25">
      <c r="A28" s="221"/>
      <c r="B28" s="837" t="s">
        <v>591</v>
      </c>
      <c r="C28" s="837"/>
      <c r="D28" s="837"/>
      <c r="E28" s="837"/>
      <c r="F28" s="837"/>
      <c r="G28" s="837"/>
      <c r="H28" s="837"/>
      <c r="I28" s="837"/>
      <c r="K28" s="475"/>
    </row>
    <row r="29" spans="1:14" ht="22.5" customHeight="1" x14ac:dyDescent="0.25">
      <c r="A29" s="221"/>
      <c r="B29" s="221"/>
      <c r="C29" s="850" t="s">
        <v>355</v>
      </c>
      <c r="D29" s="851"/>
      <c r="E29" s="851"/>
      <c r="F29" s="852"/>
      <c r="G29" s="247"/>
      <c r="H29" s="247"/>
      <c r="I29" s="586"/>
      <c r="K29" s="475"/>
    </row>
    <row r="30" spans="1:14" ht="22.5" customHeight="1" thickBot="1" x14ac:dyDescent="0.3">
      <c r="A30" s="221"/>
      <c r="B30" s="221"/>
      <c r="C30" s="226" t="s">
        <v>592</v>
      </c>
      <c r="D30" s="227">
        <f>'[1]1) RF par produit'!D59</f>
        <v>72000</v>
      </c>
      <c r="E30" s="227">
        <f>'[1]1) RF par produit'!E59</f>
        <v>4000</v>
      </c>
      <c r="F30" s="246">
        <f t="shared" ref="F30:F38" si="4">SUM(D30:E30)</f>
        <v>76000</v>
      </c>
      <c r="G30" s="229">
        <f>G38</f>
        <v>75859</v>
      </c>
      <c r="H30" s="229">
        <f>H38</f>
        <v>28.977730077810573</v>
      </c>
      <c r="I30" s="501">
        <f>I38</f>
        <v>75887.977730077808</v>
      </c>
      <c r="K30" s="475"/>
    </row>
    <row r="31" spans="1:14" ht="35.25" customHeight="1" x14ac:dyDescent="0.25">
      <c r="A31" s="221"/>
      <c r="B31" s="221"/>
      <c r="C31" s="230" t="s">
        <v>581</v>
      </c>
      <c r="D31" s="231"/>
      <c r="E31" s="231"/>
      <c r="F31" s="248">
        <f t="shared" si="4"/>
        <v>0</v>
      </c>
      <c r="G31" s="232"/>
      <c r="H31" s="241"/>
      <c r="I31" s="307">
        <f>G31+H31</f>
        <v>0</v>
      </c>
      <c r="K31" s="475"/>
    </row>
    <row r="32" spans="1:14" ht="35.25" customHeight="1" x14ac:dyDescent="0.25">
      <c r="A32" s="221"/>
      <c r="B32" s="221"/>
      <c r="C32" s="233" t="s">
        <v>582</v>
      </c>
      <c r="D32" s="234"/>
      <c r="E32" s="234"/>
      <c r="F32" s="228">
        <f t="shared" si="4"/>
        <v>0</v>
      </c>
      <c r="G32" s="232"/>
      <c r="H32" s="241">
        <v>0</v>
      </c>
      <c r="I32" s="307">
        <f t="shared" ref="I32:I37" si="5">G32+H32</f>
        <v>0</v>
      </c>
      <c r="K32" s="475"/>
    </row>
    <row r="33" spans="1:12" ht="35.25" customHeight="1" x14ac:dyDescent="0.25">
      <c r="A33" s="221"/>
      <c r="B33" s="221"/>
      <c r="C33" s="233" t="s">
        <v>583</v>
      </c>
      <c r="D33" s="234"/>
      <c r="E33" s="234"/>
      <c r="F33" s="228">
        <f t="shared" si="4"/>
        <v>0</v>
      </c>
      <c r="G33" s="232"/>
      <c r="H33" s="241">
        <v>0</v>
      </c>
      <c r="I33" s="307">
        <f t="shared" si="5"/>
        <v>0</v>
      </c>
      <c r="K33" s="475"/>
    </row>
    <row r="34" spans="1:12" ht="35.25" customHeight="1" x14ac:dyDescent="0.25">
      <c r="A34" s="221"/>
      <c r="B34" s="221"/>
      <c r="C34" s="235" t="s">
        <v>584</v>
      </c>
      <c r="D34" s="234"/>
      <c r="E34" s="234">
        <f>E30*100%</f>
        <v>4000</v>
      </c>
      <c r="F34" s="228">
        <f t="shared" si="4"/>
        <v>4000</v>
      </c>
      <c r="G34" s="232"/>
      <c r="H34" s="555">
        <v>28.977730077810573</v>
      </c>
      <c r="I34" s="307">
        <f t="shared" si="5"/>
        <v>28.977730077810573</v>
      </c>
      <c r="K34" s="475"/>
    </row>
    <row r="35" spans="1:12" ht="35.25" customHeight="1" x14ac:dyDescent="0.25">
      <c r="A35" s="221"/>
      <c r="B35" s="221"/>
      <c r="C35" s="233" t="s">
        <v>585</v>
      </c>
      <c r="D35" s="234"/>
      <c r="E35" s="234"/>
      <c r="F35" s="228">
        <f t="shared" si="4"/>
        <v>0</v>
      </c>
      <c r="G35" s="232"/>
      <c r="H35" s="241">
        <v>0</v>
      </c>
      <c r="I35" s="307">
        <f t="shared" si="5"/>
        <v>0</v>
      </c>
      <c r="K35" s="475"/>
    </row>
    <row r="36" spans="1:12" ht="35.25" customHeight="1" x14ac:dyDescent="0.25">
      <c r="A36" s="238"/>
      <c r="B36" s="221"/>
      <c r="C36" s="233" t="s">
        <v>586</v>
      </c>
      <c r="D36" s="486">
        <f>D30</f>
        <v>72000</v>
      </c>
      <c r="E36" s="234"/>
      <c r="F36" s="228">
        <f t="shared" si="4"/>
        <v>72000</v>
      </c>
      <c r="G36" s="547">
        <f>76436-577</f>
        <v>75859</v>
      </c>
      <c r="H36" s="241">
        <v>0</v>
      </c>
      <c r="I36" s="307">
        <f t="shared" si="5"/>
        <v>75859</v>
      </c>
      <c r="J36" s="474"/>
      <c r="K36" s="475"/>
      <c r="L36" s="494"/>
    </row>
    <row r="37" spans="1:12" ht="35.25" customHeight="1" x14ac:dyDescent="0.25">
      <c r="A37" s="238"/>
      <c r="B37" s="221"/>
      <c r="C37" s="233" t="s">
        <v>587</v>
      </c>
      <c r="D37" s="234"/>
      <c r="E37" s="234"/>
      <c r="F37" s="228">
        <f t="shared" si="4"/>
        <v>0</v>
      </c>
      <c r="G37" s="232"/>
      <c r="H37" s="241">
        <v>0</v>
      </c>
      <c r="I37" s="307">
        <f t="shared" si="5"/>
        <v>0</v>
      </c>
      <c r="K37" s="475"/>
      <c r="L37" s="494"/>
    </row>
    <row r="38" spans="1:12" ht="27" customHeight="1" x14ac:dyDescent="0.25">
      <c r="A38" s="221"/>
      <c r="B38" s="221"/>
      <c r="C38" s="236" t="s">
        <v>588</v>
      </c>
      <c r="D38" s="237">
        <f>SUM(D31:D37)</f>
        <v>72000</v>
      </c>
      <c r="E38" s="237">
        <f>SUM(E31:E37)</f>
        <v>4000</v>
      </c>
      <c r="F38" s="228">
        <f t="shared" si="4"/>
        <v>76000</v>
      </c>
      <c r="G38" s="313">
        <f>SUM(G31:G37)</f>
        <v>75859</v>
      </c>
      <c r="H38" s="313">
        <f>SUM(H31:H37)</f>
        <v>28.977730077810573</v>
      </c>
      <c r="I38" s="539">
        <f>SUM(I31:I37)</f>
        <v>75887.977730077808</v>
      </c>
      <c r="K38" s="475"/>
      <c r="L38" s="494"/>
    </row>
    <row r="39" spans="1:12" ht="22.5" customHeight="1" x14ac:dyDescent="0.25">
      <c r="A39" s="238"/>
      <c r="B39" s="238"/>
      <c r="C39" s="238" t="s">
        <v>820</v>
      </c>
      <c r="D39" s="242"/>
      <c r="E39" s="242"/>
      <c r="F39" s="249"/>
      <c r="G39" s="558">
        <v>5351</v>
      </c>
      <c r="H39" s="238"/>
      <c r="I39" s="585"/>
      <c r="K39" s="475"/>
    </row>
    <row r="40" spans="1:12" ht="37.5" customHeight="1" x14ac:dyDescent="0.25">
      <c r="A40" s="221"/>
      <c r="B40" s="238"/>
      <c r="C40" s="837" t="s">
        <v>358</v>
      </c>
      <c r="D40" s="837"/>
      <c r="E40" s="837"/>
      <c r="F40" s="837"/>
      <c r="G40" s="837"/>
      <c r="H40" s="837"/>
      <c r="I40" s="837"/>
      <c r="K40" s="475"/>
    </row>
    <row r="41" spans="1:12" ht="37.5" customHeight="1" thickBot="1" x14ac:dyDescent="0.3">
      <c r="A41" s="221"/>
      <c r="B41" s="221"/>
      <c r="C41" s="243" t="s">
        <v>593</v>
      </c>
      <c r="D41" s="244">
        <f>'[1]1) RF par produit'!D69</f>
        <v>13000</v>
      </c>
      <c r="E41" s="244">
        <f>'[1]1) RF par produit'!E69</f>
        <v>147000</v>
      </c>
      <c r="F41" s="245">
        <f t="shared" ref="F41:F49" si="6">SUM(D41:E41)</f>
        <v>160000</v>
      </c>
      <c r="G41" s="229">
        <f>G49</f>
        <v>11311</v>
      </c>
      <c r="H41" s="229">
        <f>H49</f>
        <v>76947.581153742954</v>
      </c>
      <c r="I41" s="501">
        <f>I49</f>
        <v>88258.581153742954</v>
      </c>
      <c r="J41" s="27"/>
      <c r="K41" s="475"/>
    </row>
    <row r="42" spans="1:12" ht="37.5" customHeight="1" x14ac:dyDescent="0.25">
      <c r="A42" s="221"/>
      <c r="B42" s="221"/>
      <c r="C42" s="230" t="s">
        <v>581</v>
      </c>
      <c r="D42" s="231"/>
      <c r="E42" s="310"/>
      <c r="F42" s="248">
        <f t="shared" si="6"/>
        <v>0</v>
      </c>
      <c r="G42" s="241"/>
      <c r="H42" s="312"/>
      <c r="I42" s="307">
        <f>G42+H42</f>
        <v>0</v>
      </c>
      <c r="K42" s="475"/>
    </row>
    <row r="43" spans="1:12" ht="37.5" customHeight="1" x14ac:dyDescent="0.25">
      <c r="A43" s="221"/>
      <c r="B43" s="221"/>
      <c r="C43" s="233" t="s">
        <v>582</v>
      </c>
      <c r="D43" s="234"/>
      <c r="E43" s="234">
        <f>E41*3%</f>
        <v>4410</v>
      </c>
      <c r="F43" s="228">
        <f t="shared" si="6"/>
        <v>4410</v>
      </c>
      <c r="G43" s="241"/>
      <c r="H43" s="538">
        <v>0</v>
      </c>
      <c r="I43" s="307">
        <f t="shared" ref="I43:I48" si="7">G43+H43</f>
        <v>0</v>
      </c>
      <c r="K43" s="475"/>
    </row>
    <row r="44" spans="1:12" ht="37.5" customHeight="1" x14ac:dyDescent="0.25">
      <c r="A44" s="221"/>
      <c r="B44" s="221"/>
      <c r="C44" s="233" t="s">
        <v>583</v>
      </c>
      <c r="D44" s="234"/>
      <c r="E44" s="234">
        <f>E41*6%</f>
        <v>8820</v>
      </c>
      <c r="F44" s="228">
        <f t="shared" si="6"/>
        <v>8820</v>
      </c>
      <c r="G44" s="241"/>
      <c r="H44" s="559">
        <v>6149.2712637510058</v>
      </c>
      <c r="I44" s="307">
        <f t="shared" si="7"/>
        <v>6149.2712637510058</v>
      </c>
      <c r="J44" s="474"/>
      <c r="K44" s="475"/>
    </row>
    <row r="45" spans="1:12" ht="37.5" customHeight="1" x14ac:dyDescent="0.25">
      <c r="A45" s="221"/>
      <c r="B45" s="221"/>
      <c r="C45" s="235" t="s">
        <v>584</v>
      </c>
      <c r="D45" s="234"/>
      <c r="E45" s="234">
        <f>E41*8%</f>
        <v>11760</v>
      </c>
      <c r="F45" s="228">
        <f t="shared" si="6"/>
        <v>11760</v>
      </c>
      <c r="G45" s="241"/>
      <c r="H45" s="559">
        <v>458.81405956533405</v>
      </c>
      <c r="I45" s="307">
        <f t="shared" si="7"/>
        <v>458.81405956533405</v>
      </c>
      <c r="K45" s="475"/>
    </row>
    <row r="46" spans="1:12" ht="37.5" customHeight="1" x14ac:dyDescent="0.25">
      <c r="A46" s="221"/>
      <c r="B46" s="221"/>
      <c r="C46" s="233" t="s">
        <v>585</v>
      </c>
      <c r="D46" s="234"/>
      <c r="E46" s="234">
        <f>E41*5%</f>
        <v>7350</v>
      </c>
      <c r="F46" s="228">
        <f t="shared" si="6"/>
        <v>7350</v>
      </c>
      <c r="G46" s="241"/>
      <c r="H46" s="559">
        <v>2124.0273678561844</v>
      </c>
      <c r="I46" s="307">
        <f t="shared" si="7"/>
        <v>2124.0273678561844</v>
      </c>
      <c r="K46" s="475"/>
    </row>
    <row r="47" spans="1:12" ht="37.5" customHeight="1" x14ac:dyDescent="0.25">
      <c r="A47" s="221"/>
      <c r="B47" s="221"/>
      <c r="C47" s="233" t="s">
        <v>586</v>
      </c>
      <c r="D47" s="486">
        <f>D41</f>
        <v>13000</v>
      </c>
      <c r="E47" s="234">
        <f>E41*76%</f>
        <v>111720</v>
      </c>
      <c r="F47" s="228">
        <f t="shared" si="6"/>
        <v>124720</v>
      </c>
      <c r="G47" s="532">
        <v>11311</v>
      </c>
      <c r="H47" s="559">
        <v>68215.468462570425</v>
      </c>
      <c r="I47" s="307">
        <f t="shared" si="7"/>
        <v>79526.468462570425</v>
      </c>
      <c r="K47" s="475"/>
    </row>
    <row r="48" spans="1:12" ht="37.5" customHeight="1" x14ac:dyDescent="0.25">
      <c r="A48" s="221"/>
      <c r="B48" s="221"/>
      <c r="C48" s="233" t="s">
        <v>587</v>
      </c>
      <c r="D48" s="234"/>
      <c r="E48" s="234">
        <f>E41*2%</f>
        <v>2940</v>
      </c>
      <c r="F48" s="228">
        <f t="shared" si="6"/>
        <v>2940</v>
      </c>
      <c r="G48" s="241"/>
      <c r="H48" s="559">
        <v>0</v>
      </c>
      <c r="I48" s="307">
        <f t="shared" si="7"/>
        <v>0</v>
      </c>
      <c r="K48" s="475"/>
    </row>
    <row r="49" spans="1:12" ht="37.5" customHeight="1" x14ac:dyDescent="0.25">
      <c r="A49" s="221"/>
      <c r="B49" s="221"/>
      <c r="C49" s="236" t="s">
        <v>588</v>
      </c>
      <c r="D49" s="237">
        <f>SUM(D42:D48)</f>
        <v>13000</v>
      </c>
      <c r="E49" s="237">
        <f>SUM(E42:E48)</f>
        <v>147000</v>
      </c>
      <c r="F49" s="228">
        <f t="shared" si="6"/>
        <v>160000</v>
      </c>
      <c r="G49" s="313">
        <f>SUM(G42:G48)</f>
        <v>11311</v>
      </c>
      <c r="H49" s="313">
        <f>SUM(H42:H48)</f>
        <v>76947.581153742954</v>
      </c>
      <c r="I49" s="539">
        <f>SUM(I42:I48)</f>
        <v>88258.581153742954</v>
      </c>
      <c r="J49" s="27"/>
      <c r="K49" s="475"/>
    </row>
    <row r="50" spans="1:12" x14ac:dyDescent="0.25">
      <c r="A50" s="238"/>
      <c r="B50" s="238"/>
      <c r="C50" s="238" t="s">
        <v>820</v>
      </c>
      <c r="D50" s="238"/>
      <c r="E50" s="238"/>
      <c r="F50" s="238"/>
      <c r="G50" s="558">
        <v>791</v>
      </c>
      <c r="H50" s="238"/>
      <c r="I50" s="585"/>
      <c r="K50" s="475"/>
    </row>
    <row r="51" spans="1:12" x14ac:dyDescent="0.25">
      <c r="A51" s="221"/>
      <c r="B51" s="221"/>
      <c r="C51" s="221"/>
      <c r="D51" s="221"/>
      <c r="E51" s="221"/>
      <c r="F51" s="221"/>
      <c r="G51" s="221"/>
      <c r="H51" s="221"/>
      <c r="I51" s="582"/>
      <c r="K51" s="475"/>
    </row>
    <row r="52" spans="1:12" ht="37.5" customHeight="1" x14ac:dyDescent="0.25">
      <c r="A52" s="221"/>
      <c r="B52" s="853" t="s">
        <v>594</v>
      </c>
      <c r="C52" s="853"/>
      <c r="D52" s="853"/>
      <c r="E52" s="853"/>
      <c r="F52" s="853"/>
      <c r="G52" s="853"/>
      <c r="H52" s="853"/>
      <c r="I52" s="853"/>
      <c r="K52" s="475"/>
    </row>
    <row r="53" spans="1:12" ht="37.5" customHeight="1" x14ac:dyDescent="0.25">
      <c r="A53" s="221"/>
      <c r="B53" s="221"/>
      <c r="C53" s="837" t="s">
        <v>364</v>
      </c>
      <c r="D53" s="837"/>
      <c r="E53" s="837"/>
      <c r="F53" s="837"/>
      <c r="G53" s="837"/>
      <c r="H53" s="837"/>
      <c r="I53" s="837"/>
      <c r="K53" s="475"/>
    </row>
    <row r="54" spans="1:12" ht="37.5" customHeight="1" thickBot="1" x14ac:dyDescent="0.3">
      <c r="A54" s="221"/>
      <c r="B54" s="221"/>
      <c r="C54" s="226" t="s">
        <v>595</v>
      </c>
      <c r="D54" s="227">
        <f>'[1]1) RF par produit'!D101</f>
        <v>152500</v>
      </c>
      <c r="E54" s="227">
        <f>'[1]1) RF par produit'!E101</f>
        <v>11000</v>
      </c>
      <c r="F54" s="246">
        <f t="shared" ref="F54:F62" si="8">SUM(D54:E54)</f>
        <v>163500</v>
      </c>
      <c r="G54" s="501">
        <f>G62</f>
        <v>92187</v>
      </c>
      <c r="H54" s="250">
        <f>H62</f>
        <v>1210.4910115374296</v>
      </c>
      <c r="I54" s="501">
        <f>I62</f>
        <v>93397.491011537437</v>
      </c>
      <c r="K54" s="475"/>
    </row>
    <row r="55" spans="1:12" ht="37.5" customHeight="1" x14ac:dyDescent="0.25">
      <c r="A55" s="221"/>
      <c r="B55" s="221"/>
      <c r="C55" s="230" t="s">
        <v>581</v>
      </c>
      <c r="D55" s="231"/>
      <c r="E55" s="231"/>
      <c r="F55" s="248">
        <f t="shared" si="8"/>
        <v>0</v>
      </c>
      <c r="G55" s="241"/>
      <c r="H55" s="241"/>
      <c r="I55" s="307">
        <f>G55+H55</f>
        <v>0</v>
      </c>
      <c r="K55" s="475"/>
    </row>
    <row r="56" spans="1:12" ht="37.5" customHeight="1" x14ac:dyDescent="0.25">
      <c r="A56" s="221"/>
      <c r="B56" s="221"/>
      <c r="C56" s="233" t="s">
        <v>582</v>
      </c>
      <c r="D56" s="234"/>
      <c r="E56" s="234">
        <f>E54*20%</f>
        <v>2200</v>
      </c>
      <c r="F56" s="228">
        <f t="shared" si="8"/>
        <v>2200</v>
      </c>
      <c r="G56" s="241"/>
      <c r="H56" s="559">
        <v>11.671585725784814</v>
      </c>
      <c r="I56" s="307">
        <f t="shared" ref="I56:I61" si="9">G56+H56</f>
        <v>11.671585725784814</v>
      </c>
      <c r="K56" s="475"/>
    </row>
    <row r="57" spans="1:12" ht="37.5" customHeight="1" x14ac:dyDescent="0.25">
      <c r="A57" s="221"/>
      <c r="B57" s="221"/>
      <c r="C57" s="233" t="s">
        <v>583</v>
      </c>
      <c r="D57" s="486">
        <f>D54*10%</f>
        <v>15250</v>
      </c>
      <c r="E57" s="234"/>
      <c r="F57" s="228">
        <f t="shared" si="8"/>
        <v>15250</v>
      </c>
      <c r="G57" s="241"/>
      <c r="H57" s="559">
        <v>0</v>
      </c>
      <c r="I57" s="307">
        <f t="shared" si="9"/>
        <v>0</v>
      </c>
      <c r="K57" s="475"/>
    </row>
    <row r="58" spans="1:12" ht="37.5" customHeight="1" x14ac:dyDescent="0.25">
      <c r="A58" s="221"/>
      <c r="B58" s="221"/>
      <c r="C58" s="235" t="s">
        <v>584</v>
      </c>
      <c r="D58" s="486">
        <v>38125</v>
      </c>
      <c r="E58" s="234">
        <f>E54*40%</f>
        <v>4400</v>
      </c>
      <c r="F58" s="228">
        <f t="shared" si="8"/>
        <v>42525</v>
      </c>
      <c r="G58" s="546">
        <f>22424+7202</f>
        <v>29626</v>
      </c>
      <c r="H58" s="559">
        <v>1093.3726858062785</v>
      </c>
      <c r="I58" s="307">
        <f t="shared" si="9"/>
        <v>30719.37268580628</v>
      </c>
      <c r="K58" s="475"/>
    </row>
    <row r="59" spans="1:12" ht="37.5" customHeight="1" x14ac:dyDescent="0.25">
      <c r="A59" s="221"/>
      <c r="B59" s="221"/>
      <c r="C59" s="233" t="s">
        <v>585</v>
      </c>
      <c r="D59" s="486">
        <v>5000</v>
      </c>
      <c r="E59" s="234">
        <f>E54*40%</f>
        <v>4400</v>
      </c>
      <c r="F59" s="228">
        <f t="shared" si="8"/>
        <v>9400</v>
      </c>
      <c r="G59" s="545"/>
      <c r="H59" s="559">
        <v>105.44674000536625</v>
      </c>
      <c r="I59" s="307">
        <f t="shared" si="9"/>
        <v>105.44674000536625</v>
      </c>
      <c r="K59" s="475"/>
    </row>
    <row r="60" spans="1:12" ht="37.5" customHeight="1" x14ac:dyDescent="0.25">
      <c r="A60" s="221"/>
      <c r="B60" s="221"/>
      <c r="C60" s="233" t="s">
        <v>586</v>
      </c>
      <c r="D60" s="486">
        <f>D54*45%</f>
        <v>68625</v>
      </c>
      <c r="E60" s="234"/>
      <c r="F60" s="228">
        <f t="shared" si="8"/>
        <v>68625</v>
      </c>
      <c r="G60" s="545">
        <v>62561</v>
      </c>
      <c r="H60" s="559">
        <v>0</v>
      </c>
      <c r="I60" s="307">
        <f t="shared" si="9"/>
        <v>62561</v>
      </c>
      <c r="J60" s="474"/>
      <c r="K60" s="475"/>
      <c r="L60" s="494"/>
    </row>
    <row r="61" spans="1:12" ht="37.5" customHeight="1" x14ac:dyDescent="0.25">
      <c r="A61" s="221"/>
      <c r="B61" s="221"/>
      <c r="C61" s="233" t="s">
        <v>587</v>
      </c>
      <c r="D61" s="486">
        <v>25500</v>
      </c>
      <c r="E61" s="234"/>
      <c r="F61" s="228">
        <f t="shared" si="8"/>
        <v>25500</v>
      </c>
      <c r="G61" s="307"/>
      <c r="H61" s="559">
        <v>0</v>
      </c>
      <c r="I61" s="307">
        <f t="shared" si="9"/>
        <v>0</v>
      </c>
      <c r="K61" s="475"/>
    </row>
    <row r="62" spans="1:12" ht="37.5" customHeight="1" x14ac:dyDescent="0.25">
      <c r="A62" s="221"/>
      <c r="B62" s="221"/>
      <c r="C62" s="236" t="s">
        <v>588</v>
      </c>
      <c r="D62" s="237">
        <f>SUM(D55:D61)</f>
        <v>152500</v>
      </c>
      <c r="E62" s="237">
        <f>SUM(E55:E61)</f>
        <v>11000</v>
      </c>
      <c r="F62" s="228">
        <f t="shared" si="8"/>
        <v>163500</v>
      </c>
      <c r="G62" s="539">
        <f>SUM(G55:G61)</f>
        <v>92187</v>
      </c>
      <c r="H62" s="539">
        <f>SUM(H55:H61)</f>
        <v>1210.4910115374296</v>
      </c>
      <c r="I62" s="539">
        <f>SUM(I55:I61)</f>
        <v>93397.491011537437</v>
      </c>
      <c r="K62" s="475"/>
    </row>
    <row r="63" spans="1:12" x14ac:dyDescent="0.25">
      <c r="A63" s="238"/>
      <c r="B63" s="238"/>
      <c r="C63" s="238" t="s">
        <v>820</v>
      </c>
      <c r="D63" s="242"/>
      <c r="E63" s="242"/>
      <c r="F63" s="249"/>
      <c r="G63" s="558">
        <v>6302</v>
      </c>
      <c r="H63" s="238"/>
      <c r="I63" s="585"/>
      <c r="K63" s="475"/>
    </row>
    <row r="64" spans="1:12" ht="33" customHeight="1" x14ac:dyDescent="0.25">
      <c r="A64" s="221"/>
      <c r="B64" s="221"/>
      <c r="C64" s="837" t="s">
        <v>596</v>
      </c>
      <c r="D64" s="837"/>
      <c r="E64" s="837"/>
      <c r="F64" s="837"/>
      <c r="G64" s="837"/>
      <c r="H64" s="837"/>
      <c r="I64" s="837"/>
      <c r="K64" s="475"/>
    </row>
    <row r="65" spans="1:12" ht="33" customHeight="1" thickBot="1" x14ac:dyDescent="0.3">
      <c r="A65" s="221"/>
      <c r="B65" s="221"/>
      <c r="C65" s="243" t="s">
        <v>597</v>
      </c>
      <c r="D65" s="244">
        <f>'[1]1) RF par produit'!D111</f>
        <v>255869.15887850453</v>
      </c>
      <c r="E65" s="244">
        <f>'[1]1) RF par produit'!E111</f>
        <v>5000</v>
      </c>
      <c r="F65" s="245">
        <f t="shared" ref="F65:F73" si="10">SUM(D65:E65)</f>
        <v>260869.15887850453</v>
      </c>
      <c r="G65" s="247">
        <f>G73</f>
        <v>70626</v>
      </c>
      <c r="H65" s="247">
        <f>H73</f>
        <v>0</v>
      </c>
      <c r="I65" s="586">
        <f>I73</f>
        <v>70626</v>
      </c>
      <c r="K65" s="475"/>
    </row>
    <row r="66" spans="1:12" ht="33" customHeight="1" x14ac:dyDescent="0.25">
      <c r="A66" s="221"/>
      <c r="B66" s="221"/>
      <c r="C66" s="230" t="s">
        <v>581</v>
      </c>
      <c r="D66" s="231"/>
      <c r="E66" s="231"/>
      <c r="F66" s="248">
        <f t="shared" si="10"/>
        <v>0</v>
      </c>
      <c r="G66" s="241"/>
      <c r="H66" s="241"/>
      <c r="I66" s="307">
        <f>G66+H66</f>
        <v>0</v>
      </c>
      <c r="K66" s="475"/>
    </row>
    <row r="67" spans="1:12" ht="33" customHeight="1" x14ac:dyDescent="0.25">
      <c r="A67" s="221"/>
      <c r="B67" s="221"/>
      <c r="C67" s="233" t="s">
        <v>582</v>
      </c>
      <c r="D67" s="486">
        <f>D65*1%</f>
        <v>2558.6915887850455</v>
      </c>
      <c r="E67" s="234">
        <f>E65*20%</f>
        <v>1000</v>
      </c>
      <c r="F67" s="228">
        <f t="shared" si="10"/>
        <v>3558.6915887850455</v>
      </c>
      <c r="G67" s="545">
        <v>103</v>
      </c>
      <c r="H67" s="241">
        <v>0</v>
      </c>
      <c r="I67" s="307">
        <f t="shared" ref="I67:I72" si="11">G67+H67</f>
        <v>103</v>
      </c>
      <c r="J67" s="474"/>
      <c r="K67" s="475"/>
    </row>
    <row r="68" spans="1:12" ht="33" customHeight="1" x14ac:dyDescent="0.25">
      <c r="A68" s="221"/>
      <c r="B68" s="221"/>
      <c r="C68" s="233" t="s">
        <v>583</v>
      </c>
      <c r="D68" s="486"/>
      <c r="E68" s="234"/>
      <c r="F68" s="228">
        <f t="shared" si="10"/>
        <v>0</v>
      </c>
      <c r="G68" s="545"/>
      <c r="H68" s="241">
        <v>0</v>
      </c>
      <c r="I68" s="307">
        <f t="shared" si="11"/>
        <v>0</v>
      </c>
      <c r="K68" s="475"/>
    </row>
    <row r="69" spans="1:12" ht="33" customHeight="1" x14ac:dyDescent="0.25">
      <c r="A69" s="221"/>
      <c r="B69" s="221"/>
      <c r="C69" s="235" t="s">
        <v>584</v>
      </c>
      <c r="D69" s="486">
        <f>D65*6%</f>
        <v>15352.149532710271</v>
      </c>
      <c r="E69" s="234">
        <f>E65*50%</f>
        <v>2500</v>
      </c>
      <c r="F69" s="228">
        <f t="shared" si="10"/>
        <v>17852.149532710271</v>
      </c>
      <c r="G69" s="581">
        <v>15368</v>
      </c>
      <c r="H69" s="241">
        <v>0</v>
      </c>
      <c r="I69" s="307">
        <f t="shared" si="11"/>
        <v>15368</v>
      </c>
      <c r="K69" s="475"/>
    </row>
    <row r="70" spans="1:12" ht="33" customHeight="1" x14ac:dyDescent="0.25">
      <c r="A70" s="221"/>
      <c r="B70" s="221"/>
      <c r="C70" s="233" t="s">
        <v>585</v>
      </c>
      <c r="D70" s="486">
        <f>D65*3%</f>
        <v>7676.0747663551356</v>
      </c>
      <c r="E70" s="234">
        <f>E65*30%</f>
        <v>1500</v>
      </c>
      <c r="F70" s="228">
        <f t="shared" si="10"/>
        <v>9176.0747663551356</v>
      </c>
      <c r="G70" s="545"/>
      <c r="H70" s="241">
        <v>0</v>
      </c>
      <c r="I70" s="307">
        <f t="shared" si="11"/>
        <v>0</v>
      </c>
      <c r="K70" s="475"/>
    </row>
    <row r="71" spans="1:12" ht="33" customHeight="1" x14ac:dyDescent="0.25">
      <c r="A71" s="221"/>
      <c r="B71" s="221"/>
      <c r="C71" s="233" t="s">
        <v>586</v>
      </c>
      <c r="D71" s="486">
        <f>D65*90%</f>
        <v>230282.24299065408</v>
      </c>
      <c r="E71" s="234"/>
      <c r="F71" s="228">
        <f t="shared" si="10"/>
        <v>230282.24299065408</v>
      </c>
      <c r="G71" s="545">
        <v>55155</v>
      </c>
      <c r="H71" s="241">
        <v>0</v>
      </c>
      <c r="I71" s="307">
        <f t="shared" si="11"/>
        <v>55155</v>
      </c>
      <c r="K71" s="475"/>
    </row>
    <row r="72" spans="1:12" ht="33" customHeight="1" x14ac:dyDescent="0.25">
      <c r="A72" s="221"/>
      <c r="B72" s="221"/>
      <c r="C72" s="233" t="s">
        <v>587</v>
      </c>
      <c r="D72" s="234"/>
      <c r="E72" s="234"/>
      <c r="F72" s="228">
        <f t="shared" si="10"/>
        <v>0</v>
      </c>
      <c r="G72" s="241"/>
      <c r="H72" s="241">
        <v>0</v>
      </c>
      <c r="I72" s="307">
        <f t="shared" si="11"/>
        <v>0</v>
      </c>
      <c r="K72" s="475"/>
    </row>
    <row r="73" spans="1:12" ht="33" customHeight="1" x14ac:dyDescent="0.25">
      <c r="A73" s="221"/>
      <c r="B73" s="221"/>
      <c r="C73" s="236" t="s">
        <v>588</v>
      </c>
      <c r="D73" s="237">
        <f>SUM(D66:D72)</f>
        <v>255869.15887850453</v>
      </c>
      <c r="E73" s="237">
        <f>SUM(E66:E72)</f>
        <v>5000</v>
      </c>
      <c r="F73" s="228">
        <f t="shared" si="10"/>
        <v>260869.15887850453</v>
      </c>
      <c r="G73" s="307">
        <f>SUM(G66:G72)</f>
        <v>70626</v>
      </c>
      <c r="H73" s="241">
        <f>SUM(H66:H72)</f>
        <v>0</v>
      </c>
      <c r="I73" s="307">
        <f>SUM(I66:I72)</f>
        <v>70626</v>
      </c>
      <c r="K73" s="475"/>
    </row>
    <row r="74" spans="1:12" x14ac:dyDescent="0.25">
      <c r="A74" s="221"/>
      <c r="B74" s="221"/>
      <c r="C74" s="529" t="s">
        <v>820</v>
      </c>
      <c r="D74" s="27"/>
      <c r="E74" s="475"/>
      <c r="F74" s="27"/>
      <c r="G74" s="558">
        <v>4979</v>
      </c>
      <c r="H74" s="27"/>
      <c r="K74" s="475"/>
    </row>
    <row r="75" spans="1:12" ht="31.5" customHeight="1" x14ac:dyDescent="0.25">
      <c r="A75" s="221"/>
      <c r="B75" s="221"/>
      <c r="C75" s="838" t="s">
        <v>598</v>
      </c>
      <c r="D75" s="838"/>
      <c r="E75" s="838"/>
      <c r="F75" s="838"/>
      <c r="G75" s="838"/>
      <c r="H75" s="838"/>
      <c r="I75" s="838"/>
      <c r="K75" s="475"/>
    </row>
    <row r="76" spans="1:12" ht="31.5" customHeight="1" thickBot="1" x14ac:dyDescent="0.3">
      <c r="A76" s="221"/>
      <c r="B76" s="221"/>
      <c r="C76" s="243" t="s">
        <v>599</v>
      </c>
      <c r="D76" s="244">
        <f>'[1]1) RF par produit'!D180</f>
        <v>289626.16822429909</v>
      </c>
      <c r="E76" s="244">
        <f>'[1]1) RF par produit'!E180</f>
        <v>85373.831775700906</v>
      </c>
      <c r="F76" s="245">
        <f t="shared" ref="F76:F84" si="12">SUM(D76:E76)</f>
        <v>375000</v>
      </c>
      <c r="G76" s="229">
        <f>G84</f>
        <v>132542</v>
      </c>
      <c r="H76" s="229">
        <f>H84</f>
        <v>75167.523235846515</v>
      </c>
      <c r="I76" s="501">
        <f>I84</f>
        <v>207709.52323584651</v>
      </c>
      <c r="K76" s="475"/>
    </row>
    <row r="77" spans="1:12" ht="31.5" customHeight="1" x14ac:dyDescent="0.25">
      <c r="A77" s="221"/>
      <c r="B77" s="221"/>
      <c r="C77" s="230" t="s">
        <v>581</v>
      </c>
      <c r="D77" s="485">
        <f>'[1]1) RF par produit'!D176</f>
        <v>30000</v>
      </c>
      <c r="E77" s="231">
        <f>'[1]1) RF par produit'!E176</f>
        <v>45000</v>
      </c>
      <c r="F77" s="248">
        <f t="shared" si="12"/>
        <v>75000</v>
      </c>
      <c r="G77" s="548">
        <v>3267</v>
      </c>
      <c r="H77" s="548">
        <v>33451.338341829891</v>
      </c>
      <c r="I77" s="548">
        <f>G77+H77</f>
        <v>36718.338341829891</v>
      </c>
      <c r="J77" s="548">
        <v>3267</v>
      </c>
      <c r="K77" s="475"/>
    </row>
    <row r="78" spans="1:12" ht="31.5" customHeight="1" x14ac:dyDescent="0.25">
      <c r="A78" s="221"/>
      <c r="B78" s="221"/>
      <c r="C78" s="233" t="s">
        <v>582</v>
      </c>
      <c r="D78" s="486"/>
      <c r="E78" s="234">
        <f>(E$76-E$77)*5%</f>
        <v>2018.6915887850455</v>
      </c>
      <c r="F78" s="228">
        <f t="shared" si="12"/>
        <v>2018.6915887850455</v>
      </c>
      <c r="G78" s="549"/>
      <c r="H78" s="548">
        <v>0</v>
      </c>
      <c r="I78" s="548">
        <f t="shared" ref="I78:I83" si="13">G78+H78</f>
        <v>0</v>
      </c>
      <c r="J78" s="548">
        <v>1341</v>
      </c>
      <c r="K78" s="475"/>
    </row>
    <row r="79" spans="1:12" ht="31.5" customHeight="1" x14ac:dyDescent="0.25">
      <c r="A79" s="221"/>
      <c r="B79" s="221"/>
      <c r="C79" s="233" t="s">
        <v>583</v>
      </c>
      <c r="D79" s="486">
        <f>(D$76-D$77)*8%</f>
        <v>20770.093457943927</v>
      </c>
      <c r="E79" s="234">
        <f>(E$76-E$77)*48%</f>
        <v>19379.439252336433</v>
      </c>
      <c r="F79" s="228">
        <f t="shared" si="12"/>
        <v>40149.532710280357</v>
      </c>
      <c r="G79" s="580">
        <v>9929</v>
      </c>
      <c r="H79" s="548">
        <v>12457.901797692512</v>
      </c>
      <c r="I79" s="548">
        <f t="shared" si="13"/>
        <v>22386.90179769251</v>
      </c>
      <c r="J79" s="548">
        <v>8588</v>
      </c>
      <c r="K79" s="475"/>
    </row>
    <row r="80" spans="1:12" ht="31.5" customHeight="1" x14ac:dyDescent="0.25">
      <c r="A80" s="221"/>
      <c r="B80" s="221"/>
      <c r="C80" s="235" t="s">
        <v>584</v>
      </c>
      <c r="D80" s="486">
        <f>(D$76-D$77)*74%</f>
        <v>192123.36448598132</v>
      </c>
      <c r="E80" s="234">
        <f>(E$76-E$77)*15%</f>
        <v>6056.0747663551356</v>
      </c>
      <c r="F80" s="228">
        <f t="shared" si="12"/>
        <v>198179.43925233645</v>
      </c>
      <c r="G80" s="580">
        <v>85236</v>
      </c>
      <c r="H80" s="548">
        <v>14525.918140595653</v>
      </c>
      <c r="I80" s="548">
        <f t="shared" si="13"/>
        <v>99761.918140595648</v>
      </c>
      <c r="J80" s="580">
        <v>85236</v>
      </c>
      <c r="K80" s="475"/>
      <c r="L80" s="299"/>
    </row>
    <row r="81" spans="1:15" ht="31.5" customHeight="1" x14ac:dyDescent="0.25">
      <c r="A81" s="221"/>
      <c r="B81" s="221"/>
      <c r="C81" s="233" t="s">
        <v>585</v>
      </c>
      <c r="D81" s="486">
        <f>(D$76-D$77)*9%</f>
        <v>23366.355140186919</v>
      </c>
      <c r="E81" s="234">
        <f>(E$76-E$77)*10%</f>
        <v>4037.383177570091</v>
      </c>
      <c r="F81" s="228">
        <f t="shared" si="12"/>
        <v>27403.738317757008</v>
      </c>
      <c r="G81" s="548">
        <v>15736</v>
      </c>
      <c r="H81" s="548">
        <v>7334.0582237724711</v>
      </c>
      <c r="I81" s="548">
        <f t="shared" si="13"/>
        <v>23070.05822377247</v>
      </c>
      <c r="J81" s="548">
        <v>15736</v>
      </c>
      <c r="K81" s="475"/>
      <c r="L81" s="494"/>
    </row>
    <row r="82" spans="1:15" ht="31.5" customHeight="1" x14ac:dyDescent="0.25">
      <c r="A82" s="221"/>
      <c r="B82" s="221"/>
      <c r="C82" s="233" t="s">
        <v>586</v>
      </c>
      <c r="D82" s="497"/>
      <c r="E82" s="234"/>
      <c r="F82" s="228">
        <f t="shared" si="12"/>
        <v>0</v>
      </c>
      <c r="G82" s="548"/>
      <c r="H82" s="548">
        <v>0</v>
      </c>
      <c r="I82" s="548">
        <f t="shared" si="13"/>
        <v>0</v>
      </c>
      <c r="J82" s="548"/>
      <c r="K82" s="475"/>
      <c r="L82" s="496"/>
    </row>
    <row r="83" spans="1:15" ht="36.75" customHeight="1" x14ac:dyDescent="0.25">
      <c r="A83" s="221"/>
      <c r="B83" s="221"/>
      <c r="C83" s="233" t="s">
        <v>587</v>
      </c>
      <c r="D83" s="486">
        <f>(D$76-D$77)*9%</f>
        <v>23366.355140186919</v>
      </c>
      <c r="E83" s="234">
        <f>(E$76-E$77)*22%</f>
        <v>8882.2429906542002</v>
      </c>
      <c r="F83" s="228">
        <f t="shared" si="12"/>
        <v>32248.598130841121</v>
      </c>
      <c r="G83" s="548">
        <v>18374</v>
      </c>
      <c r="H83" s="548">
        <v>7398.3067319559977</v>
      </c>
      <c r="I83" s="548">
        <f t="shared" si="13"/>
        <v>25772.306731956</v>
      </c>
      <c r="J83" s="548">
        <v>18374</v>
      </c>
    </row>
    <row r="84" spans="1:15" ht="35.25" customHeight="1" x14ac:dyDescent="0.25">
      <c r="A84" s="221"/>
      <c r="B84" s="221"/>
      <c r="C84" s="236" t="s">
        <v>588</v>
      </c>
      <c r="D84" s="237">
        <f>SUM(D77:D83)</f>
        <v>289626.16822429909</v>
      </c>
      <c r="E84" s="237">
        <f>SUM(E77:E83)</f>
        <v>85373.831775700906</v>
      </c>
      <c r="F84" s="228">
        <f t="shared" si="12"/>
        <v>375000</v>
      </c>
      <c r="G84" s="313">
        <f>SUM(G77:G83)</f>
        <v>132542</v>
      </c>
      <c r="H84" s="313">
        <f>SUM(H77:H83)</f>
        <v>75167.523235846515</v>
      </c>
      <c r="I84" s="539">
        <f>SUM(I77:I83)</f>
        <v>207709.52323584651</v>
      </c>
    </row>
    <row r="85" spans="1:15" ht="31.5" customHeight="1" thickBot="1" x14ac:dyDescent="0.3">
      <c r="A85" s="221"/>
      <c r="B85" s="221"/>
      <c r="C85" s="500" t="s">
        <v>820</v>
      </c>
      <c r="D85" s="500"/>
      <c r="E85" s="500"/>
      <c r="F85" s="500"/>
      <c r="G85" s="558">
        <v>9289</v>
      </c>
      <c r="H85" s="500"/>
      <c r="I85" s="587"/>
    </row>
    <row r="86" spans="1:15" x14ac:dyDescent="0.25">
      <c r="A86" s="221"/>
      <c r="B86" s="221"/>
      <c r="C86" s="295"/>
      <c r="D86" s="296"/>
      <c r="E86" s="842" t="s">
        <v>812</v>
      </c>
      <c r="F86" s="843"/>
      <c r="G86" s="843"/>
      <c r="H86" s="844"/>
      <c r="I86" s="588"/>
    </row>
    <row r="87" spans="1:15" ht="16.5" thickBot="1" x14ac:dyDescent="0.3">
      <c r="A87" s="221"/>
      <c r="B87" s="221"/>
      <c r="C87" s="295"/>
      <c r="D87" s="296"/>
      <c r="E87" s="845"/>
      <c r="F87" s="846"/>
      <c r="G87" s="846"/>
      <c r="H87" s="847"/>
      <c r="I87" s="588"/>
    </row>
    <row r="88" spans="1:15" ht="30.75" customHeight="1" thickBot="1" x14ac:dyDescent="0.3">
      <c r="A88" s="221"/>
      <c r="B88" s="221"/>
      <c r="C88" s="297"/>
      <c r="D88" s="297"/>
      <c r="E88" s="297"/>
      <c r="F88" s="848" t="s">
        <v>616</v>
      </c>
      <c r="G88" s="849"/>
      <c r="H88" s="221"/>
      <c r="I88" s="582"/>
    </row>
    <row r="89" spans="1:15" x14ac:dyDescent="0.25">
      <c r="A89" s="221"/>
      <c r="B89" s="221"/>
      <c r="C89" s="839" t="s">
        <v>391</v>
      </c>
      <c r="D89" s="840"/>
      <c r="E89" s="840"/>
      <c r="F89" s="840"/>
      <c r="G89" s="840"/>
      <c r="H89" s="840"/>
      <c r="I89" s="841"/>
    </row>
    <row r="90" spans="1:15" ht="31.5" x14ac:dyDescent="0.25">
      <c r="A90" s="221"/>
      <c r="B90" s="221"/>
      <c r="C90" s="251"/>
      <c r="D90" s="224" t="str">
        <f>'[1]1) RF par produit'!D5</f>
        <v>PNUD
(budget en USD)</v>
      </c>
      <c r="E90" s="224" t="str">
        <f>'[1]1) RF par produit'!E5</f>
        <v>MSIS-tatao
(budget en USD)</v>
      </c>
      <c r="F90" s="269" t="s">
        <v>391</v>
      </c>
      <c r="G90" s="225" t="s">
        <v>575</v>
      </c>
      <c r="H90" s="225" t="s">
        <v>576</v>
      </c>
      <c r="I90" s="583" t="s">
        <v>577</v>
      </c>
    </row>
    <row r="91" spans="1:15" ht="45" customHeight="1" x14ac:dyDescent="0.25">
      <c r="A91" s="221"/>
      <c r="B91" s="221"/>
      <c r="C91" s="252" t="s">
        <v>581</v>
      </c>
      <c r="D91" s="488">
        <f t="shared" ref="D91:E97" si="14">SUM(D66,D55,D42,D31,D19,D8,D77)</f>
        <v>30000</v>
      </c>
      <c r="E91" s="229">
        <f t="shared" si="14"/>
        <v>45000</v>
      </c>
      <c r="F91" s="255">
        <f t="shared" ref="F91:F98" si="15">SUM(D91:E91)</f>
        <v>75000</v>
      </c>
      <c r="G91" s="309">
        <f>G8+G19+G31+G42+G55+G66+G77</f>
        <v>3267</v>
      </c>
      <c r="H91" s="309">
        <f>H8+H19+H31+H42+H55+H66+H77</f>
        <v>33451.338341829891</v>
      </c>
      <c r="I91" s="559">
        <f>G91+H91</f>
        <v>36718.338341829891</v>
      </c>
      <c r="J91" s="563"/>
      <c r="K91" s="543"/>
      <c r="M91" s="542"/>
      <c r="N91" s="542"/>
      <c r="O91" s="537"/>
    </row>
    <row r="92" spans="1:15" ht="45" customHeight="1" x14ac:dyDescent="0.25">
      <c r="A92" s="221"/>
      <c r="B92" s="221"/>
      <c r="C92" s="253" t="s">
        <v>582</v>
      </c>
      <c r="D92" s="487">
        <f t="shared" si="14"/>
        <v>5453.6915887850455</v>
      </c>
      <c r="E92" s="254">
        <f t="shared" si="14"/>
        <v>13828.691588785045</v>
      </c>
      <c r="F92" s="255">
        <f t="shared" si="15"/>
        <v>19282.383177570089</v>
      </c>
      <c r="G92" s="309">
        <f>G9+G20+G32+G43+G56+G67+G78</f>
        <v>989</v>
      </c>
      <c r="H92" s="309">
        <f t="shared" ref="G92:H95" si="16">H9+H20+H32+H43+H56+H67+H78</f>
        <v>440.96897504695465</v>
      </c>
      <c r="I92" s="559">
        <f t="shared" ref="I92:I99" si="17">G92+H92</f>
        <v>1429.9689750469547</v>
      </c>
      <c r="J92" s="563"/>
      <c r="K92" s="544"/>
      <c r="M92" s="540"/>
      <c r="N92" s="540"/>
      <c r="O92" s="541"/>
    </row>
    <row r="93" spans="1:15" ht="45" customHeight="1" x14ac:dyDescent="0.25">
      <c r="A93" s="221"/>
      <c r="B93" s="221"/>
      <c r="C93" s="253" t="s">
        <v>583</v>
      </c>
      <c r="D93" s="487">
        <f t="shared" si="14"/>
        <v>40860.093457943927</v>
      </c>
      <c r="E93" s="254">
        <f t="shared" si="14"/>
        <v>33899.439252336437</v>
      </c>
      <c r="F93" s="255">
        <f t="shared" si="15"/>
        <v>74759.532710280357</v>
      </c>
      <c r="G93" s="309">
        <f t="shared" si="16"/>
        <v>9929</v>
      </c>
      <c r="H93" s="309">
        <f t="shared" si="16"/>
        <v>23214.161703783204</v>
      </c>
      <c r="I93" s="559">
        <f t="shared" si="17"/>
        <v>33143.161703783204</v>
      </c>
      <c r="J93" s="563"/>
      <c r="K93" s="543"/>
      <c r="M93" s="542"/>
      <c r="N93" s="542"/>
      <c r="O93" s="537"/>
    </row>
    <row r="94" spans="1:15" ht="45" customHeight="1" x14ac:dyDescent="0.25">
      <c r="A94" s="221"/>
      <c r="B94" s="221"/>
      <c r="C94" s="256" t="s">
        <v>584</v>
      </c>
      <c r="D94" s="487">
        <f t="shared" si="14"/>
        <v>279465.51401869161</v>
      </c>
      <c r="E94" s="254">
        <f t="shared" si="14"/>
        <v>44866.074766355137</v>
      </c>
      <c r="F94" s="255">
        <f t="shared" si="15"/>
        <v>324331.58878504677</v>
      </c>
      <c r="G94" s="536">
        <f t="shared" si="16"/>
        <v>172789</v>
      </c>
      <c r="H94" s="309">
        <f t="shared" si="16"/>
        <v>28219.869334585459</v>
      </c>
      <c r="I94" s="559">
        <f t="shared" si="17"/>
        <v>201008.86933458547</v>
      </c>
      <c r="J94" s="563"/>
      <c r="K94" s="543"/>
      <c r="M94" s="542"/>
      <c r="N94" s="542"/>
      <c r="O94" s="537"/>
    </row>
    <row r="95" spans="1:15" ht="45" customHeight="1" x14ac:dyDescent="0.25">
      <c r="A95" s="221"/>
      <c r="B95" s="221"/>
      <c r="C95" s="253" t="s">
        <v>585</v>
      </c>
      <c r="D95" s="487">
        <f t="shared" si="14"/>
        <v>50547.429906542056</v>
      </c>
      <c r="E95" s="254">
        <f t="shared" si="14"/>
        <v>19237.383177570089</v>
      </c>
      <c r="F95" s="255">
        <f t="shared" si="15"/>
        <v>69784.813084112146</v>
      </c>
      <c r="G95" s="536">
        <f t="shared" si="16"/>
        <v>24089</v>
      </c>
      <c r="H95" s="550">
        <f t="shared" ref="H95:H97" si="18">H12+H23+H35+H46+H59+H70+H81</f>
        <v>11209.577408103032</v>
      </c>
      <c r="I95" s="559">
        <f t="shared" si="17"/>
        <v>35298.577408103032</v>
      </c>
      <c r="J95" s="564"/>
      <c r="K95" s="529"/>
      <c r="M95" s="474"/>
    </row>
    <row r="96" spans="1:15" ht="45" customHeight="1" x14ac:dyDescent="0.25">
      <c r="A96" s="221"/>
      <c r="B96" s="221"/>
      <c r="C96" s="253" t="s">
        <v>586</v>
      </c>
      <c r="D96" s="487">
        <f t="shared" si="14"/>
        <v>659532.24299065408</v>
      </c>
      <c r="E96" s="254">
        <f t="shared" si="14"/>
        <v>111720</v>
      </c>
      <c r="F96" s="255">
        <f t="shared" si="15"/>
        <v>771252.24299065408</v>
      </c>
      <c r="G96" s="550">
        <f t="shared" ref="G96" si="19">G13+G24+G36+G47+G60+G71+G82</f>
        <v>373550</v>
      </c>
      <c r="H96" s="550">
        <f t="shared" si="18"/>
        <v>68215.468462570425</v>
      </c>
      <c r="I96" s="559">
        <f t="shared" si="17"/>
        <v>441765.46846257045</v>
      </c>
      <c r="J96" s="564"/>
      <c r="K96" s="529"/>
      <c r="M96" s="474"/>
    </row>
    <row r="97" spans="1:13" ht="45" customHeight="1" x14ac:dyDescent="0.25">
      <c r="A97" s="221"/>
      <c r="B97" s="221"/>
      <c r="C97" s="253" t="s">
        <v>587</v>
      </c>
      <c r="D97" s="488">
        <f t="shared" si="14"/>
        <v>55636.355140186919</v>
      </c>
      <c r="E97" s="229">
        <f t="shared" si="14"/>
        <v>11822.2429906542</v>
      </c>
      <c r="F97" s="255">
        <f t="shared" si="15"/>
        <v>67458.598130841114</v>
      </c>
      <c r="G97" s="550">
        <f t="shared" ref="G97" si="20">G14+G25+G37+G48+G61+G72+G83</f>
        <v>18687</v>
      </c>
      <c r="H97" s="550">
        <f t="shared" si="18"/>
        <v>7398.3067319559977</v>
      </c>
      <c r="I97" s="559">
        <f t="shared" si="17"/>
        <v>26085.306731956</v>
      </c>
      <c r="J97" s="564"/>
      <c r="K97" s="562"/>
      <c r="M97" s="474"/>
    </row>
    <row r="98" spans="1:13" ht="45" customHeight="1" x14ac:dyDescent="0.25">
      <c r="A98" s="221"/>
      <c r="B98" s="221"/>
      <c r="C98" s="305" t="s">
        <v>383</v>
      </c>
      <c r="D98" s="257">
        <f>SUM(D91:D97)</f>
        <v>1121495.3271028036</v>
      </c>
      <c r="E98" s="257">
        <f>SUM(E91:E97)</f>
        <v>280373.83177570091</v>
      </c>
      <c r="F98" s="258">
        <f t="shared" si="15"/>
        <v>1401869.1588785045</v>
      </c>
      <c r="G98" s="306">
        <f>SUM(G91:G97)</f>
        <v>603300</v>
      </c>
      <c r="H98" s="306">
        <f>SUM(H91:H97)</f>
        <v>172149.69095787496</v>
      </c>
      <c r="I98" s="589">
        <f t="shared" ref="I98" si="21">SUM(I91:I97)</f>
        <v>775449.69095787499</v>
      </c>
      <c r="J98" s="564">
        <f>SUM(J91:J97)</f>
        <v>0</v>
      </c>
      <c r="M98" s="474"/>
    </row>
    <row r="99" spans="1:13" ht="45" customHeight="1" thickBot="1" x14ac:dyDescent="0.3">
      <c r="A99" s="221"/>
      <c r="B99" s="221"/>
      <c r="C99" s="259" t="s">
        <v>384</v>
      </c>
      <c r="D99" s="260">
        <f>D98*0.07</f>
        <v>78504.672897196258</v>
      </c>
      <c r="E99" s="260">
        <f>E98*0.07</f>
        <v>19626.168224299065</v>
      </c>
      <c r="F99" s="261">
        <f>F98*0.07</f>
        <v>98130.841121495323</v>
      </c>
      <c r="G99" s="529">
        <f>G16+G27+G39+G50+G63+G74+G85</f>
        <v>42183</v>
      </c>
      <c r="H99" s="262">
        <f>+H98*0.07</f>
        <v>12050.478367051248</v>
      </c>
      <c r="I99" s="307">
        <f t="shared" si="17"/>
        <v>54233.478367051248</v>
      </c>
      <c r="J99" s="529"/>
      <c r="K99" s="476"/>
    </row>
    <row r="100" spans="1:13" ht="39.75" customHeight="1" thickBot="1" x14ac:dyDescent="0.3">
      <c r="A100" s="221"/>
      <c r="B100" s="221"/>
      <c r="C100" s="263" t="s">
        <v>600</v>
      </c>
      <c r="D100" s="245">
        <f>SUM(D98:D99)</f>
        <v>1200000</v>
      </c>
      <c r="E100" s="245">
        <f>SUM(E98:E99)</f>
        <v>300000</v>
      </c>
      <c r="F100" s="264">
        <f>SUM(F98:F99)</f>
        <v>1499999.9999999998</v>
      </c>
      <c r="G100" s="265">
        <f>G98+G99</f>
        <v>645483</v>
      </c>
      <c r="H100" s="265">
        <f>H98+H99</f>
        <v>184200.16932492622</v>
      </c>
      <c r="I100" s="590">
        <f>I98+I99</f>
        <v>829683.16932492622</v>
      </c>
      <c r="J100" s="475"/>
    </row>
    <row r="101" spans="1:13" x14ac:dyDescent="0.25">
      <c r="B101" s="25"/>
      <c r="C101" s="25"/>
      <c r="D101" s="25"/>
    </row>
    <row r="102" spans="1:13" ht="24.75" customHeight="1" x14ac:dyDescent="0.25">
      <c r="B102" s="300"/>
      <c r="C102"/>
      <c r="D102" s="300"/>
      <c r="E102"/>
    </row>
    <row r="103" spans="1:13" ht="28.5" customHeight="1" x14ac:dyDescent="0.25">
      <c r="B103" s="25"/>
      <c r="C103" s="25"/>
      <c r="D103" s="25"/>
      <c r="F103" s="300"/>
      <c r="G103"/>
      <c r="H103" s="300"/>
      <c r="I103" s="591"/>
      <c r="J103"/>
      <c r="K103"/>
    </row>
    <row r="104" spans="1:13" ht="28.5" customHeight="1" x14ac:dyDescent="0.25">
      <c r="B104"/>
      <c r="C104" s="208"/>
      <c r="D104" s="875" t="s">
        <v>559</v>
      </c>
      <c r="E104" s="875"/>
      <c r="F104"/>
      <c r="G104"/>
      <c r="H104" s="208"/>
      <c r="I104" s="591"/>
      <c r="J104"/>
      <c r="K104"/>
    </row>
    <row r="105" spans="1:13" ht="23.25" customHeight="1" x14ac:dyDescent="0.25">
      <c r="B105" s="209"/>
      <c r="C105" s="215" t="s">
        <v>558</v>
      </c>
      <c r="D105" s="215" t="s">
        <v>560</v>
      </c>
      <c r="E105" s="216" t="s">
        <v>561</v>
      </c>
      <c r="F105" s="216" t="s">
        <v>506</v>
      </c>
      <c r="G105"/>
      <c r="H105"/>
      <c r="I105" s="591"/>
      <c r="J105"/>
      <c r="K105"/>
    </row>
    <row r="106" spans="1:13" ht="39.75" customHeight="1" x14ac:dyDescent="0.25">
      <c r="B106" s="210" t="s">
        <v>562</v>
      </c>
      <c r="C106" s="211">
        <v>195000</v>
      </c>
      <c r="D106" s="211">
        <f>H100</f>
        <v>184200.16932492622</v>
      </c>
      <c r="E106" s="212">
        <f>+C106-D106</f>
        <v>10799.830675073783</v>
      </c>
      <c r="F106" s="213">
        <f>D106/C106</f>
        <v>0.94461625294833962</v>
      </c>
      <c r="G106"/>
      <c r="H106"/>
      <c r="I106" s="591"/>
      <c r="J106" s="214"/>
      <c r="K106"/>
    </row>
    <row r="107" spans="1:13" ht="39.75" customHeight="1" x14ac:dyDescent="0.25">
      <c r="B107" s="210" t="s">
        <v>563</v>
      </c>
      <c r="C107" s="211">
        <f>E100</f>
        <v>300000</v>
      </c>
      <c r="D107" s="211">
        <f>H100</f>
        <v>184200.16932492622</v>
      </c>
      <c r="E107" s="212">
        <f>+C107-D107</f>
        <v>115799.83067507378</v>
      </c>
      <c r="F107" s="213">
        <f>D107/C107</f>
        <v>0.6140005644164207</v>
      </c>
      <c r="G107"/>
      <c r="H107"/>
      <c r="I107" s="591"/>
      <c r="J107"/>
      <c r="K107"/>
    </row>
    <row r="108" spans="1:13" ht="21.75" customHeight="1" x14ac:dyDescent="0.25">
      <c r="B108"/>
      <c r="C108"/>
      <c r="D108"/>
      <c r="E108"/>
      <c r="F108"/>
      <c r="G108"/>
      <c r="H108"/>
      <c r="I108" s="591"/>
      <c r="J108"/>
      <c r="K108"/>
    </row>
    <row r="109" spans="1:13" ht="21.75" customHeight="1" x14ac:dyDescent="0.25">
      <c r="B109"/>
      <c r="C109" s="208"/>
      <c r="D109" s="875" t="s">
        <v>564</v>
      </c>
      <c r="E109" s="875"/>
      <c r="F109"/>
      <c r="G109"/>
      <c r="H109"/>
      <c r="I109" s="591"/>
      <c r="J109"/>
      <c r="K109"/>
    </row>
    <row r="110" spans="1:13" s="27" customFormat="1" ht="23.25" customHeight="1" x14ac:dyDescent="0.25">
      <c r="B110" s="209"/>
      <c r="C110" s="215" t="s">
        <v>558</v>
      </c>
      <c r="D110" s="215" t="s">
        <v>560</v>
      </c>
      <c r="E110" s="216" t="s">
        <v>561</v>
      </c>
      <c r="F110" s="216" t="s">
        <v>506</v>
      </c>
      <c r="G110"/>
      <c r="H110"/>
      <c r="I110" s="591"/>
      <c r="J110"/>
      <c r="K110"/>
    </row>
    <row r="111" spans="1:13" ht="36" customHeight="1" x14ac:dyDescent="0.25">
      <c r="B111" s="210" t="s">
        <v>562</v>
      </c>
      <c r="C111" s="218">
        <v>780000</v>
      </c>
      <c r="D111" s="211">
        <f>G100</f>
        <v>645483</v>
      </c>
      <c r="E111" s="219">
        <f>+C111-D111</f>
        <v>134517</v>
      </c>
      <c r="F111" s="213">
        <f>D111/C111</f>
        <v>0.82754230769230774</v>
      </c>
      <c r="G111"/>
      <c r="H111"/>
      <c r="I111" s="591"/>
      <c r="J111"/>
      <c r="K111"/>
      <c r="L111"/>
    </row>
    <row r="112" spans="1:13" ht="34.5" customHeight="1" x14ac:dyDescent="0.25">
      <c r="B112" s="210" t="s">
        <v>563</v>
      </c>
      <c r="C112" s="218">
        <f>D100</f>
        <v>1200000</v>
      </c>
      <c r="D112" s="211">
        <f>G100</f>
        <v>645483</v>
      </c>
      <c r="E112" s="219">
        <f>+C112-D112</f>
        <v>554517</v>
      </c>
      <c r="F112" s="213">
        <f>D112/C112</f>
        <v>0.53790249999999995</v>
      </c>
      <c r="G112"/>
      <c r="H112"/>
      <c r="I112" s="591"/>
      <c r="J112"/>
      <c r="K112"/>
      <c r="L112"/>
    </row>
    <row r="113" spans="2:12" ht="27.75" customHeight="1" x14ac:dyDescent="0.25">
      <c r="B113"/>
      <c r="C113"/>
      <c r="D113"/>
      <c r="E113"/>
      <c r="F113"/>
      <c r="G113"/>
      <c r="H113"/>
      <c r="I113" s="591"/>
      <c r="J113"/>
      <c r="K113"/>
      <c r="L113"/>
    </row>
    <row r="114" spans="2:12" ht="29.25" customHeight="1" thickBot="1" x14ac:dyDescent="0.3">
      <c r="B114"/>
      <c r="C114"/>
      <c r="D114" s="875" t="s">
        <v>565</v>
      </c>
      <c r="E114" s="875"/>
      <c r="F114"/>
      <c r="G114"/>
      <c r="H114"/>
      <c r="I114" s="591"/>
      <c r="J114"/>
      <c r="K114"/>
      <c r="L114"/>
    </row>
    <row r="115" spans="2:12" ht="24.75" customHeight="1" thickBot="1" x14ac:dyDescent="0.3">
      <c r="B115"/>
      <c r="C115" s="866" t="s">
        <v>508</v>
      </c>
      <c r="D115" s="867"/>
      <c r="E115" s="868"/>
      <c r="F115" s="869" t="s">
        <v>555</v>
      </c>
      <c r="G115" s="870"/>
      <c r="H115" s="871"/>
      <c r="I115" s="872" t="s">
        <v>557</v>
      </c>
      <c r="J115" s="873"/>
      <c r="K115" s="874"/>
      <c r="L115" s="516" t="s">
        <v>566</v>
      </c>
    </row>
    <row r="116" spans="2:12" ht="33" customHeight="1" x14ac:dyDescent="0.25">
      <c r="B116" s="517"/>
      <c r="C116" s="518" t="s">
        <v>558</v>
      </c>
      <c r="D116" s="518" t="s">
        <v>567</v>
      </c>
      <c r="E116" s="519" t="s">
        <v>561</v>
      </c>
      <c r="F116" s="518" t="s">
        <v>558</v>
      </c>
      <c r="G116" s="518" t="s">
        <v>567</v>
      </c>
      <c r="H116" s="519" t="s">
        <v>561</v>
      </c>
      <c r="I116" s="592" t="s">
        <v>558</v>
      </c>
      <c r="J116" s="518" t="s">
        <v>567</v>
      </c>
      <c r="K116" s="519" t="s">
        <v>561</v>
      </c>
      <c r="L116" s="520"/>
    </row>
    <row r="117" spans="2:12" s="304" customFormat="1" ht="69" customHeight="1" x14ac:dyDescent="0.25">
      <c r="B117" s="521" t="s">
        <v>568</v>
      </c>
      <c r="C117" s="309">
        <f>C111</f>
        <v>780000</v>
      </c>
      <c r="D117" s="309">
        <f>D111</f>
        <v>645483</v>
      </c>
      <c r="E117" s="477">
        <f>C117-D117</f>
        <v>134517</v>
      </c>
      <c r="F117" s="309">
        <f>C106</f>
        <v>195000</v>
      </c>
      <c r="G117" s="309">
        <f>D106</f>
        <v>184200.16932492622</v>
      </c>
      <c r="H117" s="478">
        <f>F117-G117</f>
        <v>10799.830675073783</v>
      </c>
      <c r="I117" s="593">
        <f>C117+F117</f>
        <v>975000</v>
      </c>
      <c r="J117" s="309">
        <f>D117+G117</f>
        <v>829683.16932492622</v>
      </c>
      <c r="K117" s="478">
        <f>I117-J117</f>
        <v>145316.83067507378</v>
      </c>
      <c r="L117" s="522">
        <f>J117/I117</f>
        <v>0.85095709674351405</v>
      </c>
    </row>
    <row r="118" spans="2:12" ht="52.5" customHeight="1" thickBot="1" x14ac:dyDescent="0.3">
      <c r="B118" s="523" t="s">
        <v>569</v>
      </c>
      <c r="C118" s="524">
        <f>C112</f>
        <v>1200000</v>
      </c>
      <c r="D118" s="525">
        <f>D112</f>
        <v>645483</v>
      </c>
      <c r="E118" s="526">
        <f>C118-D118</f>
        <v>554517</v>
      </c>
      <c r="F118" s="525">
        <f>C107</f>
        <v>300000</v>
      </c>
      <c r="G118" s="525">
        <f>D107</f>
        <v>184200.16932492622</v>
      </c>
      <c r="H118" s="527">
        <f>F118-G118</f>
        <v>115799.83067507378</v>
      </c>
      <c r="I118" s="594">
        <f>C118+F118</f>
        <v>1500000</v>
      </c>
      <c r="J118" s="525">
        <f>D118+G118</f>
        <v>829683.16932492622</v>
      </c>
      <c r="K118" s="527">
        <f>I118-J118</f>
        <v>670316.83067507378</v>
      </c>
      <c r="L118" s="528">
        <f>J118/I118</f>
        <v>0.55312211288328417</v>
      </c>
    </row>
    <row r="119" spans="2:12" x14ac:dyDescent="0.25">
      <c r="B119" s="25"/>
      <c r="C119" s="25"/>
      <c r="D119" s="25"/>
      <c r="E119"/>
      <c r="F119"/>
      <c r="G119"/>
      <c r="H119"/>
      <c r="I119" s="591"/>
      <c r="J119"/>
      <c r="K119"/>
      <c r="L119"/>
    </row>
    <row r="120" spans="2:12" x14ac:dyDescent="0.25">
      <c r="B120" s="25"/>
      <c r="C120" s="25"/>
      <c r="D120" s="25"/>
    </row>
    <row r="121" spans="2:12" x14ac:dyDescent="0.25">
      <c r="B121" s="25"/>
      <c r="C121" s="298"/>
      <c r="D121" s="25"/>
    </row>
    <row r="122" spans="2:12" x14ac:dyDescent="0.25">
      <c r="B122" s="25"/>
      <c r="C122" s="25"/>
      <c r="D122" s="25"/>
      <c r="H122" s="474"/>
    </row>
    <row r="123" spans="2:12" x14ac:dyDescent="0.25">
      <c r="B123" s="25"/>
      <c r="C123" s="25"/>
      <c r="D123" s="25"/>
    </row>
    <row r="124" spans="2:12" x14ac:dyDescent="0.25">
      <c r="B124" s="25"/>
      <c r="C124" s="25"/>
      <c r="D124" s="25"/>
    </row>
    <row r="125" spans="2:12" x14ac:dyDescent="0.25">
      <c r="B125" s="25"/>
      <c r="C125" s="25"/>
      <c r="D125" s="25"/>
    </row>
    <row r="126" spans="2:12" x14ac:dyDescent="0.25">
      <c r="B126" s="25"/>
      <c r="C126" s="25"/>
      <c r="D126" s="25"/>
    </row>
    <row r="127" spans="2:12" x14ac:dyDescent="0.25">
      <c r="B127" s="25"/>
      <c r="C127" s="25"/>
      <c r="D127" s="25"/>
    </row>
    <row r="128" spans="2:12" x14ac:dyDescent="0.25">
      <c r="B128" s="25"/>
      <c r="C128" s="25"/>
      <c r="D128" s="25"/>
    </row>
    <row r="129" spans="2:4" x14ac:dyDescent="0.25">
      <c r="B129" s="25"/>
      <c r="C129" s="25"/>
      <c r="D129" s="25"/>
    </row>
    <row r="130" spans="2:4" x14ac:dyDescent="0.25">
      <c r="B130" s="25"/>
      <c r="C130" s="25"/>
      <c r="D130" s="25"/>
    </row>
    <row r="131" spans="2:4" x14ac:dyDescent="0.25">
      <c r="B131" s="25"/>
      <c r="C131" s="25"/>
      <c r="D131" s="25"/>
    </row>
    <row r="132" spans="2:4" x14ac:dyDescent="0.25">
      <c r="B132" s="25"/>
      <c r="C132" s="25"/>
      <c r="D132" s="25"/>
    </row>
    <row r="133" spans="2:4" x14ac:dyDescent="0.25">
      <c r="B133" s="25"/>
      <c r="C133" s="25"/>
      <c r="D133" s="25"/>
    </row>
    <row r="134" spans="2:4" x14ac:dyDescent="0.25">
      <c r="B134" s="25"/>
      <c r="C134" s="25"/>
      <c r="D134" s="25"/>
    </row>
  </sheetData>
  <sheetProtection insertColumns="0" insertRows="0" deleteRows="0"/>
  <mergeCells count="22">
    <mergeCell ref="C115:E115"/>
    <mergeCell ref="F115:H115"/>
    <mergeCell ref="I115:K115"/>
    <mergeCell ref="D104:E104"/>
    <mergeCell ref="D109:E109"/>
    <mergeCell ref="D114:E114"/>
    <mergeCell ref="D2:F2"/>
    <mergeCell ref="G2:I2"/>
    <mergeCell ref="B5:I5"/>
    <mergeCell ref="C6:I6"/>
    <mergeCell ref="C17:F17"/>
    <mergeCell ref="G17:I17"/>
    <mergeCell ref="B28:I28"/>
    <mergeCell ref="C29:F29"/>
    <mergeCell ref="C40:I40"/>
    <mergeCell ref="B52:I52"/>
    <mergeCell ref="C53:I53"/>
    <mergeCell ref="C64:I64"/>
    <mergeCell ref="C75:I75"/>
    <mergeCell ref="C89:I89"/>
    <mergeCell ref="E86:H87"/>
    <mergeCell ref="F88:G88"/>
  </mergeCells>
  <conditionalFormatting sqref="F38">
    <cfRule type="cellIs" dxfId="4" priority="13" operator="notEqual">
      <formula>$F$30</formula>
    </cfRule>
  </conditionalFormatting>
  <conditionalFormatting sqref="F49">
    <cfRule type="cellIs" dxfId="3" priority="12" operator="notEqual">
      <formula>$F$41</formula>
    </cfRule>
  </conditionalFormatting>
  <conditionalFormatting sqref="F62">
    <cfRule type="cellIs" dxfId="2" priority="9" operator="notEqual">
      <formula>$F$54</formula>
    </cfRule>
  </conditionalFormatting>
  <conditionalFormatting sqref="F73">
    <cfRule type="cellIs" dxfId="1" priority="8" operator="notEqual">
      <formula>$F$65</formula>
    </cfRule>
  </conditionalFormatting>
  <conditionalFormatting sqref="F84">
    <cfRule type="cellIs" dxfId="0" priority="1" operator="notEqual">
      <formula>$F$76</formula>
    </cfRule>
  </conditionalFormatting>
  <dataValidations xWindow="289" yWindow="724" count="7">
    <dataValidation allowBlank="1" showInputMessage="1" showErrorMessage="1" prompt=" Includes all general operating costs for running an office. Examples include telecommunication, rents, finance charges and other costs which cannot be mapped to other expense categories." sqref="C14 C25 C37 C48 C61 C72 C83 C97" xr:uid="{00000000-0002-0000-0400-000000000000}"/>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C13 C24 C36 C47 C60 C71 C82 C96" xr:uid="{00000000-0002-0000-0400-000001000000}"/>
    <dataValidation allowBlank="1" showInputMessage="1" showErrorMessage="1" prompt="Services contracted by an organization which follow the normal procurement processes." sqref="C11 C22 C34 C45 C58 C69 C80 C94" xr:uid="{00000000-0002-0000-0400-000002000000}"/>
    <dataValidation allowBlank="1" showInputMessage="1" showErrorMessage="1" prompt="Includes staff and non-staff travel paid for by the organization directly related to a project." sqref="C12 C23 C35 C46 C59 C70 C81 C95" xr:uid="{00000000-0002-0000-0400-000003000000}"/>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C10 C21 C33 C44 C57 C68 C79 C93" xr:uid="{00000000-0002-0000-0400-000004000000}"/>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C9 C20 C32 C43 C56 C67 C78 C92" xr:uid="{00000000-0002-0000-0400-000005000000}"/>
    <dataValidation allowBlank="1" showInputMessage="1" showErrorMessage="1" prompt="Includes all related staff and temporary staff costs including base salary, post adjustment and all staff entitlements." sqref="C8 C19 C31 C42 C55 C66 C77 C91" xr:uid="{00000000-0002-0000-0400-000006000000}"/>
  </dataValidations>
  <pageMargins left="0.70866141732283505" right="0.70866141732283505" top="0.74803149606299202" bottom="0.74803149606299202" header="0.31496062992126" footer="0.31496062992126"/>
  <pageSetup scale="49" fitToHeight="5"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1:F24"/>
  <sheetViews>
    <sheetView topLeftCell="A15" workbookViewId="0">
      <selection activeCell="G24" sqref="G24"/>
    </sheetView>
  </sheetViews>
  <sheetFormatPr baseColWidth="10" defaultColWidth="8.85546875" defaultRowHeight="15" x14ac:dyDescent="0.25"/>
  <cols>
    <col min="2" max="2" width="33.7109375" customWidth="1"/>
    <col min="3" max="3" width="23.5703125" customWidth="1"/>
    <col min="4" max="4" width="16.5703125" customWidth="1"/>
    <col min="5" max="5" width="26" customWidth="1"/>
  </cols>
  <sheetData>
    <row r="1" spans="2:6" ht="15.75" thickBot="1" x14ac:dyDescent="0.3">
      <c r="B1" s="266"/>
      <c r="C1" s="266"/>
      <c r="D1" s="266"/>
      <c r="E1" s="266"/>
      <c r="F1" s="266"/>
    </row>
    <row r="2" spans="2:6" ht="15.75" x14ac:dyDescent="0.25">
      <c r="B2" s="876" t="s">
        <v>601</v>
      </c>
      <c r="C2" s="877"/>
      <c r="D2" s="877"/>
      <c r="E2" s="878"/>
      <c r="F2" s="267"/>
    </row>
    <row r="3" spans="2:6" ht="16.5" thickBot="1" x14ac:dyDescent="0.3">
      <c r="B3" s="879"/>
      <c r="C3" s="880"/>
      <c r="D3" s="880"/>
      <c r="E3" s="881"/>
      <c r="F3" s="267"/>
    </row>
    <row r="4" spans="2:6" ht="16.5" thickBot="1" x14ac:dyDescent="0.3">
      <c r="B4" s="267"/>
      <c r="C4" s="267"/>
      <c r="D4" s="267"/>
      <c r="E4" s="267"/>
      <c r="F4" s="267"/>
    </row>
    <row r="5" spans="2:6" ht="16.5" thickBot="1" x14ac:dyDescent="0.3">
      <c r="B5" s="882" t="s">
        <v>602</v>
      </c>
      <c r="C5" s="883"/>
      <c r="D5" s="883"/>
      <c r="E5" s="884"/>
      <c r="F5" s="267"/>
    </row>
    <row r="6" spans="2:6" ht="30.75" customHeight="1" x14ac:dyDescent="0.25">
      <c r="B6" s="251"/>
      <c r="C6" s="268" t="str">
        <f>'[1]1) RF par produit'!D5</f>
        <v>PNUD
(budget en USD)</v>
      </c>
      <c r="D6" s="268" t="str">
        <f>'[1]1) RF par produit'!E5</f>
        <v>MSIS-tatao
(budget en USD)</v>
      </c>
      <c r="E6" s="269" t="s">
        <v>602</v>
      </c>
      <c r="F6" s="267"/>
    </row>
    <row r="7" spans="2:6" ht="30.75" customHeight="1" x14ac:dyDescent="0.25">
      <c r="B7" s="270" t="s">
        <v>603</v>
      </c>
      <c r="C7" s="254">
        <f>'[1]2) RP par categorie budgetaire'!D198</f>
        <v>30000</v>
      </c>
      <c r="D7" s="254">
        <f>'[1]2) RP par categorie budgetaire'!E198</f>
        <v>45000</v>
      </c>
      <c r="E7" s="271">
        <f t="shared" ref="E7:E14" si="0">SUM(C7:D7)</f>
        <v>75000</v>
      </c>
      <c r="F7" s="267"/>
    </row>
    <row r="8" spans="2:6" ht="30.75" customHeight="1" x14ac:dyDescent="0.25">
      <c r="B8" s="270" t="s">
        <v>604</v>
      </c>
      <c r="C8" s="254">
        <f>'[1]2) RP par categorie budgetaire'!D199</f>
        <v>5453.6915887850455</v>
      </c>
      <c r="D8" s="254">
        <f>'[1]2) RP par categorie budgetaire'!E199</f>
        <v>13828.691588785045</v>
      </c>
      <c r="E8" s="272">
        <f t="shared" si="0"/>
        <v>19282.383177570089</v>
      </c>
      <c r="F8" s="267"/>
    </row>
    <row r="9" spans="2:6" ht="30.75" customHeight="1" x14ac:dyDescent="0.25">
      <c r="B9" s="270" t="s">
        <v>605</v>
      </c>
      <c r="C9" s="254">
        <f>'[1]2) RP par categorie budgetaire'!D200</f>
        <v>40860.093457943927</v>
      </c>
      <c r="D9" s="254">
        <f>'[1]2) RP par categorie budgetaire'!E200</f>
        <v>33899.439252336437</v>
      </c>
      <c r="E9" s="272">
        <f t="shared" si="0"/>
        <v>74759.532710280357</v>
      </c>
      <c r="F9" s="267"/>
    </row>
    <row r="10" spans="2:6" ht="30.75" customHeight="1" x14ac:dyDescent="0.25">
      <c r="B10" s="273" t="s">
        <v>606</v>
      </c>
      <c r="C10" s="254">
        <f>'[1]2) RP par categorie budgetaire'!D201</f>
        <v>279465.51401869161</v>
      </c>
      <c r="D10" s="254">
        <f>'[1]2) RP par categorie budgetaire'!E201</f>
        <v>44866.074766355137</v>
      </c>
      <c r="E10" s="272">
        <f t="shared" si="0"/>
        <v>324331.58878504677</v>
      </c>
      <c r="F10" s="267"/>
    </row>
    <row r="11" spans="2:6" ht="30.75" customHeight="1" x14ac:dyDescent="0.25">
      <c r="B11" s="270" t="s">
        <v>607</v>
      </c>
      <c r="C11" s="254">
        <f>'[1]2) RP par categorie budgetaire'!D202</f>
        <v>50547.429906542056</v>
      </c>
      <c r="D11" s="254">
        <f>'[1]2) RP par categorie budgetaire'!E202</f>
        <v>19237.383177570089</v>
      </c>
      <c r="E11" s="272">
        <f t="shared" si="0"/>
        <v>69784.813084112146</v>
      </c>
      <c r="F11" s="267"/>
    </row>
    <row r="12" spans="2:6" ht="30.75" customHeight="1" x14ac:dyDescent="0.25">
      <c r="B12" s="270" t="s">
        <v>608</v>
      </c>
      <c r="C12" s="254">
        <f>'[1]2) RP par categorie budgetaire'!D203</f>
        <v>659532.24299065408</v>
      </c>
      <c r="D12" s="254">
        <f>'[1]2) RP par categorie budgetaire'!E203</f>
        <v>111720</v>
      </c>
      <c r="E12" s="272">
        <f t="shared" si="0"/>
        <v>771252.24299065408</v>
      </c>
      <c r="F12" s="267"/>
    </row>
    <row r="13" spans="2:6" ht="30.75" customHeight="1" thickBot="1" x14ac:dyDescent="0.3">
      <c r="B13" s="274" t="s">
        <v>609</v>
      </c>
      <c r="C13" s="275">
        <f>'[1]2) RP par categorie budgetaire'!D204</f>
        <v>55636.355140186919</v>
      </c>
      <c r="D13" s="275">
        <f>'[1]2) RP par categorie budgetaire'!E204</f>
        <v>11822.2429906542</v>
      </c>
      <c r="E13" s="276">
        <f t="shared" si="0"/>
        <v>67458.598130841114</v>
      </c>
      <c r="F13" s="267"/>
    </row>
    <row r="14" spans="2:6" ht="30.75" customHeight="1" x14ac:dyDescent="0.25">
      <c r="B14" s="277" t="s">
        <v>610</v>
      </c>
      <c r="C14" s="278">
        <f>SUM(C7:C13)</f>
        <v>1121495.3271028036</v>
      </c>
      <c r="D14" s="278">
        <f>SUM(D7:D13)</f>
        <v>280373.83177570091</v>
      </c>
      <c r="E14" s="279">
        <f t="shared" si="0"/>
        <v>1401869.1588785045</v>
      </c>
      <c r="F14" s="267"/>
    </row>
    <row r="15" spans="2:6" ht="30.75" customHeight="1" x14ac:dyDescent="0.25">
      <c r="B15" s="280" t="s">
        <v>611</v>
      </c>
      <c r="C15" s="281">
        <f>C14*0.07</f>
        <v>78504.672897196258</v>
      </c>
      <c r="D15" s="281">
        <f>D14*0.07</f>
        <v>19626.168224299065</v>
      </c>
      <c r="E15" s="282">
        <f>E14*0.07</f>
        <v>98130.841121495323</v>
      </c>
      <c r="F15" s="267"/>
    </row>
    <row r="16" spans="2:6" ht="30.75" customHeight="1" thickBot="1" x14ac:dyDescent="0.3">
      <c r="B16" s="283" t="s">
        <v>1</v>
      </c>
      <c r="C16" s="284">
        <f>C14+C15</f>
        <v>1200000</v>
      </c>
      <c r="D16" s="284">
        <f>D14+D15</f>
        <v>300000</v>
      </c>
      <c r="E16" s="285">
        <f>E14+E15</f>
        <v>1499999.9999999998</v>
      </c>
      <c r="F16" s="267"/>
    </row>
    <row r="17" spans="2:6" ht="16.5" thickBot="1" x14ac:dyDescent="0.3">
      <c r="B17" s="267"/>
      <c r="C17" s="267"/>
      <c r="D17" s="267"/>
      <c r="E17" s="267"/>
      <c r="F17" s="267"/>
    </row>
    <row r="18" spans="2:6" ht="15.75" x14ac:dyDescent="0.25">
      <c r="B18" s="885" t="s">
        <v>612</v>
      </c>
      <c r="C18" s="886"/>
      <c r="D18" s="886"/>
      <c r="E18" s="887"/>
      <c r="F18" s="267"/>
    </row>
    <row r="19" spans="2:6" ht="46.5" customHeight="1" x14ac:dyDescent="0.25">
      <c r="B19" s="286"/>
      <c r="C19" s="269" t="str">
        <f>'[1]1) RF par produit'!D5</f>
        <v>PNUD
(budget en USD)</v>
      </c>
      <c r="D19" s="269" t="str">
        <f>'[1]1) RF par produit'!E5</f>
        <v>MSIS-tatao
(budget en USD)</v>
      </c>
      <c r="E19" s="287" t="s">
        <v>600</v>
      </c>
      <c r="F19" s="288" t="s">
        <v>0</v>
      </c>
    </row>
    <row r="20" spans="2:6" ht="28.5" customHeight="1" x14ac:dyDescent="0.25">
      <c r="B20" s="270" t="s">
        <v>613</v>
      </c>
      <c r="C20" s="289">
        <f>'[1]1) RF par produit'!D197</f>
        <v>780000</v>
      </c>
      <c r="D20" s="289">
        <f>'[1]1) RF par produit'!E197</f>
        <v>195000</v>
      </c>
      <c r="E20" s="290">
        <f>'[1]1) RF par produit'!G197</f>
        <v>975000</v>
      </c>
      <c r="F20" s="291">
        <f>'[1]1) RF par produit'!H197</f>
        <v>0.65</v>
      </c>
    </row>
    <row r="21" spans="2:6" ht="28.5" customHeight="1" x14ac:dyDescent="0.25">
      <c r="B21" s="270" t="s">
        <v>614</v>
      </c>
      <c r="C21" s="289">
        <f>'[1]1) RF par produit'!D198</f>
        <v>420000</v>
      </c>
      <c r="D21" s="289">
        <f>'[1]1) RF par produit'!E198</f>
        <v>105000</v>
      </c>
      <c r="E21" s="290">
        <f>'[1]1) RF par produit'!G198</f>
        <v>525000</v>
      </c>
      <c r="F21" s="291">
        <f>'[1]1) RF par produit'!H198</f>
        <v>0.35</v>
      </c>
    </row>
    <row r="22" spans="2:6" ht="28.5" customHeight="1" thickBot="1" x14ac:dyDescent="0.3">
      <c r="B22" s="270" t="s">
        <v>615</v>
      </c>
      <c r="C22" s="289">
        <f>'[1]1) RF par produit'!D199</f>
        <v>0</v>
      </c>
      <c r="D22" s="289">
        <f>'[1]1) RF par produit'!E199</f>
        <v>0</v>
      </c>
      <c r="E22" s="290">
        <f>'[1]1) RF par produit'!G199</f>
        <v>0</v>
      </c>
      <c r="F22" s="292">
        <f>'[1]1) RF par produit'!H199</f>
        <v>0</v>
      </c>
    </row>
    <row r="23" spans="2:6" ht="16.5" thickBot="1" x14ac:dyDescent="0.3">
      <c r="B23" s="293" t="s">
        <v>600</v>
      </c>
      <c r="C23" s="294">
        <f>'[1]1) RF par produit'!D200</f>
        <v>1200000</v>
      </c>
      <c r="D23" s="294">
        <f>'[1]1) RF par produit'!E200</f>
        <v>300000</v>
      </c>
      <c r="E23" s="294">
        <f>'[1]1) RF par produit'!G200</f>
        <v>1500000</v>
      </c>
      <c r="F23" s="266"/>
    </row>
    <row r="24" spans="2:6" x14ac:dyDescent="0.25">
      <c r="B24" s="266"/>
      <c r="C24" s="266"/>
      <c r="D24" s="266"/>
      <c r="E24" s="266"/>
      <c r="F24" s="266"/>
    </row>
  </sheetData>
  <mergeCells count="3">
    <mergeCell ref="B2:E3"/>
    <mergeCell ref="B5:E5"/>
    <mergeCell ref="B18:E18"/>
  </mergeCells>
  <dataValidations count="7">
    <dataValidation allowBlank="1" showInputMessage="1" showErrorMessage="1" prompt=" Includes all general operating costs for running an office. Examples include telecommunication, rents, finance charges and other costs which cannot be mapped to other expense categories." sqref="B13" xr:uid="{00000000-0002-0000-0500-000000000000}"/>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B12" xr:uid="{00000000-0002-0000-0500-000001000000}"/>
    <dataValidation allowBlank="1" showInputMessage="1" showErrorMessage="1" prompt="Services contracted by an organization which follow the normal procurement processes." sqref="B10" xr:uid="{00000000-0002-0000-0500-000002000000}"/>
    <dataValidation allowBlank="1" showInputMessage="1" showErrorMessage="1" prompt="Includes staff and non-staff travel paid for by the organization directly related to a project." sqref="B11" xr:uid="{00000000-0002-0000-0500-000003000000}"/>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B9" xr:uid="{00000000-0002-0000-0500-000004000000}"/>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B8" xr:uid="{00000000-0002-0000-0500-000005000000}"/>
    <dataValidation allowBlank="1" showInputMessage="1" showErrorMessage="1" prompt="Includes all related staff and temporary staff costs including base salary, post adjustment and all staff entitlements." sqref="B7" xr:uid="{00000000-0002-0000-0500-000006000000}"/>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2" tint="-0.499984740745262"/>
  </sheetPr>
  <dimension ref="A1:A6"/>
  <sheetViews>
    <sheetView workbookViewId="0">
      <selection activeCell="F20" sqref="F19:F20"/>
    </sheetView>
  </sheetViews>
  <sheetFormatPr baseColWidth="10" defaultColWidth="8.85546875" defaultRowHeight="15" x14ac:dyDescent="0.25"/>
  <sheetData>
    <row r="1" spans="1:1" x14ac:dyDescent="0.25">
      <c r="A1" s="65">
        <v>0</v>
      </c>
    </row>
    <row r="2" spans="1:1" x14ac:dyDescent="0.25">
      <c r="A2" s="65">
        <v>0.2</v>
      </c>
    </row>
    <row r="3" spans="1:1" x14ac:dyDescent="0.25">
      <c r="A3" s="65">
        <v>0.4</v>
      </c>
    </row>
    <row r="4" spans="1:1" x14ac:dyDescent="0.25">
      <c r="A4" s="65">
        <v>0.6</v>
      </c>
    </row>
    <row r="5" spans="1:1" x14ac:dyDescent="0.25">
      <c r="A5" s="65">
        <v>0.8</v>
      </c>
    </row>
    <row r="6" spans="1:1" x14ac:dyDescent="0.25">
      <c r="A6" s="65">
        <v>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B170"/>
  <sheetViews>
    <sheetView topLeftCell="A19" workbookViewId="0">
      <selection activeCell="A16" sqref="A16"/>
    </sheetView>
  </sheetViews>
  <sheetFormatPr baseColWidth="10" defaultColWidth="8.85546875" defaultRowHeight="15" x14ac:dyDescent="0.25"/>
  <cols>
    <col min="1" max="1" width="23.85546875" customWidth="1"/>
  </cols>
  <sheetData>
    <row r="1" spans="1:2" x14ac:dyDescent="0.25">
      <c r="A1" s="28" t="s">
        <v>2</v>
      </c>
      <c r="B1" s="29" t="s">
        <v>3</v>
      </c>
    </row>
    <row r="2" spans="1:2" x14ac:dyDescent="0.25">
      <c r="A2" s="30" t="s">
        <v>4</v>
      </c>
      <c r="B2" s="31" t="s">
        <v>5</v>
      </c>
    </row>
    <row r="3" spans="1:2" x14ac:dyDescent="0.25">
      <c r="A3" s="30" t="s">
        <v>6</v>
      </c>
      <c r="B3" s="31" t="s">
        <v>7</v>
      </c>
    </row>
    <row r="4" spans="1:2" x14ac:dyDescent="0.25">
      <c r="A4" s="30" t="s">
        <v>8</v>
      </c>
      <c r="B4" s="31" t="s">
        <v>9</v>
      </c>
    </row>
    <row r="5" spans="1:2" x14ac:dyDescent="0.25">
      <c r="A5" s="30" t="s">
        <v>10</v>
      </c>
      <c r="B5" s="31" t="s">
        <v>11</v>
      </c>
    </row>
    <row r="6" spans="1:2" x14ac:dyDescent="0.25">
      <c r="A6" s="30" t="s">
        <v>12</v>
      </c>
      <c r="B6" s="31" t="s">
        <v>13</v>
      </c>
    </row>
    <row r="7" spans="1:2" x14ac:dyDescent="0.25">
      <c r="A7" s="30" t="s">
        <v>14</v>
      </c>
      <c r="B7" s="31" t="s">
        <v>15</v>
      </c>
    </row>
    <row r="8" spans="1:2" x14ac:dyDescent="0.25">
      <c r="A8" s="30" t="s">
        <v>16</v>
      </c>
      <c r="B8" s="31" t="s">
        <v>17</v>
      </c>
    </row>
    <row r="9" spans="1:2" x14ac:dyDescent="0.25">
      <c r="A9" s="30" t="s">
        <v>18</v>
      </c>
      <c r="B9" s="31" t="s">
        <v>19</v>
      </c>
    </row>
    <row r="10" spans="1:2" x14ac:dyDescent="0.25">
      <c r="A10" s="30" t="s">
        <v>20</v>
      </c>
      <c r="B10" s="31" t="s">
        <v>21</v>
      </c>
    </row>
    <row r="11" spans="1:2" x14ac:dyDescent="0.25">
      <c r="A11" s="30" t="s">
        <v>22</v>
      </c>
      <c r="B11" s="31" t="s">
        <v>23</v>
      </c>
    </row>
    <row r="12" spans="1:2" x14ac:dyDescent="0.25">
      <c r="A12" s="30" t="s">
        <v>24</v>
      </c>
      <c r="B12" s="31" t="s">
        <v>25</v>
      </c>
    </row>
    <row r="13" spans="1:2" x14ac:dyDescent="0.25">
      <c r="A13" s="30" t="s">
        <v>26</v>
      </c>
      <c r="B13" s="31" t="s">
        <v>27</v>
      </c>
    </row>
    <row r="14" spans="1:2" x14ac:dyDescent="0.25">
      <c r="A14" s="30" t="s">
        <v>28</v>
      </c>
      <c r="B14" s="31" t="s">
        <v>29</v>
      </c>
    </row>
    <row r="15" spans="1:2" x14ac:dyDescent="0.25">
      <c r="A15" s="30" t="s">
        <v>30</v>
      </c>
      <c r="B15" s="31" t="s">
        <v>31</v>
      </c>
    </row>
    <row r="16" spans="1:2" x14ac:dyDescent="0.25">
      <c r="A16" s="30" t="s">
        <v>32</v>
      </c>
      <c r="B16" s="31" t="s">
        <v>33</v>
      </c>
    </row>
    <row r="17" spans="1:2" x14ac:dyDescent="0.25">
      <c r="A17" s="30" t="s">
        <v>34</v>
      </c>
      <c r="B17" s="31" t="s">
        <v>35</v>
      </c>
    </row>
    <row r="18" spans="1:2" x14ac:dyDescent="0.25">
      <c r="A18" s="30" t="s">
        <v>36</v>
      </c>
      <c r="B18" s="31" t="s">
        <v>37</v>
      </c>
    </row>
    <row r="19" spans="1:2" x14ac:dyDescent="0.25">
      <c r="A19" s="30" t="s">
        <v>38</v>
      </c>
      <c r="B19" s="31" t="s">
        <v>39</v>
      </c>
    </row>
    <row r="20" spans="1:2" x14ac:dyDescent="0.25">
      <c r="A20" s="30" t="s">
        <v>40</v>
      </c>
      <c r="B20" s="31" t="s">
        <v>41</v>
      </c>
    </row>
    <row r="21" spans="1:2" x14ac:dyDescent="0.25">
      <c r="A21" s="30" t="s">
        <v>42</v>
      </c>
      <c r="B21" s="31" t="s">
        <v>43</v>
      </c>
    </row>
    <row r="22" spans="1:2" x14ac:dyDescent="0.25">
      <c r="A22" s="30" t="s">
        <v>44</v>
      </c>
      <c r="B22" s="31" t="s">
        <v>45</v>
      </c>
    </row>
    <row r="23" spans="1:2" x14ac:dyDescent="0.25">
      <c r="A23" s="30" t="s">
        <v>46</v>
      </c>
      <c r="B23" s="31" t="s">
        <v>47</v>
      </c>
    </row>
    <row r="24" spans="1:2" x14ac:dyDescent="0.25">
      <c r="A24" s="30" t="s">
        <v>48</v>
      </c>
      <c r="B24" s="31" t="s">
        <v>49</v>
      </c>
    </row>
    <row r="25" spans="1:2" x14ac:dyDescent="0.25">
      <c r="A25" s="30" t="s">
        <v>50</v>
      </c>
      <c r="B25" s="31" t="s">
        <v>51</v>
      </c>
    </row>
    <row r="26" spans="1:2" x14ac:dyDescent="0.25">
      <c r="A26" s="30" t="s">
        <v>52</v>
      </c>
      <c r="B26" s="31" t="s">
        <v>53</v>
      </c>
    </row>
    <row r="27" spans="1:2" x14ac:dyDescent="0.25">
      <c r="A27" s="30" t="s">
        <v>54</v>
      </c>
      <c r="B27" s="31" t="s">
        <v>55</v>
      </c>
    </row>
    <row r="28" spans="1:2" x14ac:dyDescent="0.25">
      <c r="A28" s="30" t="s">
        <v>56</v>
      </c>
      <c r="B28" s="31" t="s">
        <v>57</v>
      </c>
    </row>
    <row r="29" spans="1:2" x14ac:dyDescent="0.25">
      <c r="A29" s="30" t="s">
        <v>58</v>
      </c>
      <c r="B29" s="31" t="s">
        <v>59</v>
      </c>
    </row>
    <row r="30" spans="1:2" x14ac:dyDescent="0.25">
      <c r="A30" s="30" t="s">
        <v>60</v>
      </c>
      <c r="B30" s="31" t="s">
        <v>61</v>
      </c>
    </row>
    <row r="31" spans="1:2" x14ac:dyDescent="0.25">
      <c r="A31" s="30" t="s">
        <v>62</v>
      </c>
      <c r="B31" s="31" t="s">
        <v>63</v>
      </c>
    </row>
    <row r="32" spans="1:2" x14ac:dyDescent="0.25">
      <c r="A32" s="30" t="s">
        <v>64</v>
      </c>
      <c r="B32" s="31" t="s">
        <v>65</v>
      </c>
    </row>
    <row r="33" spans="1:2" x14ac:dyDescent="0.25">
      <c r="A33" s="30" t="s">
        <v>66</v>
      </c>
      <c r="B33" s="31" t="s">
        <v>67</v>
      </c>
    </row>
    <row r="34" spans="1:2" x14ac:dyDescent="0.25">
      <c r="A34" s="30" t="s">
        <v>68</v>
      </c>
      <c r="B34" s="31" t="s">
        <v>69</v>
      </c>
    </row>
    <row r="35" spans="1:2" x14ac:dyDescent="0.25">
      <c r="A35" s="30" t="s">
        <v>70</v>
      </c>
      <c r="B35" s="31" t="s">
        <v>71</v>
      </c>
    </row>
    <row r="36" spans="1:2" x14ac:dyDescent="0.25">
      <c r="A36" s="30" t="s">
        <v>72</v>
      </c>
      <c r="B36" s="31" t="s">
        <v>73</v>
      </c>
    </row>
    <row r="37" spans="1:2" x14ac:dyDescent="0.25">
      <c r="A37" s="30" t="s">
        <v>74</v>
      </c>
      <c r="B37" s="31" t="s">
        <v>75</v>
      </c>
    </row>
    <row r="38" spans="1:2" x14ac:dyDescent="0.25">
      <c r="A38" s="30" t="s">
        <v>76</v>
      </c>
      <c r="B38" s="31" t="s">
        <v>77</v>
      </c>
    </row>
    <row r="39" spans="1:2" x14ac:dyDescent="0.25">
      <c r="A39" s="30" t="s">
        <v>78</v>
      </c>
      <c r="B39" s="31" t="s">
        <v>79</v>
      </c>
    </row>
    <row r="40" spans="1:2" x14ac:dyDescent="0.25">
      <c r="A40" s="30" t="s">
        <v>80</v>
      </c>
      <c r="B40" s="31" t="s">
        <v>81</v>
      </c>
    </row>
    <row r="41" spans="1:2" x14ac:dyDescent="0.25">
      <c r="A41" s="30" t="s">
        <v>82</v>
      </c>
      <c r="B41" s="31" t="s">
        <v>83</v>
      </c>
    </row>
    <row r="42" spans="1:2" x14ac:dyDescent="0.25">
      <c r="A42" s="30" t="s">
        <v>84</v>
      </c>
      <c r="B42" s="31" t="s">
        <v>85</v>
      </c>
    </row>
    <row r="43" spans="1:2" x14ac:dyDescent="0.25">
      <c r="A43" s="30" t="s">
        <v>86</v>
      </c>
      <c r="B43" s="31" t="s">
        <v>87</v>
      </c>
    </row>
    <row r="44" spans="1:2" x14ac:dyDescent="0.25">
      <c r="A44" s="30" t="s">
        <v>88</v>
      </c>
      <c r="B44" s="31" t="s">
        <v>89</v>
      </c>
    </row>
    <row r="45" spans="1:2" x14ac:dyDescent="0.25">
      <c r="A45" s="30" t="s">
        <v>90</v>
      </c>
      <c r="B45" s="31" t="s">
        <v>91</v>
      </c>
    </row>
    <row r="46" spans="1:2" x14ac:dyDescent="0.25">
      <c r="A46" s="30" t="s">
        <v>92</v>
      </c>
      <c r="B46" s="31" t="s">
        <v>93</v>
      </c>
    </row>
    <row r="47" spans="1:2" x14ac:dyDescent="0.25">
      <c r="A47" s="30" t="s">
        <v>94</v>
      </c>
      <c r="B47" s="31" t="s">
        <v>95</v>
      </c>
    </row>
    <row r="48" spans="1:2" x14ac:dyDescent="0.25">
      <c r="A48" s="30" t="s">
        <v>96</v>
      </c>
      <c r="B48" s="31" t="s">
        <v>97</v>
      </c>
    </row>
    <row r="49" spans="1:2" x14ac:dyDescent="0.25">
      <c r="A49" s="30" t="s">
        <v>98</v>
      </c>
      <c r="B49" s="31" t="s">
        <v>99</v>
      </c>
    </row>
    <row r="50" spans="1:2" x14ac:dyDescent="0.25">
      <c r="A50" s="30" t="s">
        <v>100</v>
      </c>
      <c r="B50" s="31" t="s">
        <v>101</v>
      </c>
    </row>
    <row r="51" spans="1:2" x14ac:dyDescent="0.25">
      <c r="A51" s="30" t="s">
        <v>102</v>
      </c>
      <c r="B51" s="31" t="s">
        <v>103</v>
      </c>
    </row>
    <row r="52" spans="1:2" x14ac:dyDescent="0.25">
      <c r="A52" s="30" t="s">
        <v>104</v>
      </c>
      <c r="B52" s="31" t="s">
        <v>105</v>
      </c>
    </row>
    <row r="53" spans="1:2" x14ac:dyDescent="0.25">
      <c r="A53" s="30" t="s">
        <v>106</v>
      </c>
      <c r="B53" s="31" t="s">
        <v>107</v>
      </c>
    </row>
    <row r="54" spans="1:2" x14ac:dyDescent="0.25">
      <c r="A54" s="30" t="s">
        <v>108</v>
      </c>
      <c r="B54" s="31" t="s">
        <v>109</v>
      </c>
    </row>
    <row r="55" spans="1:2" x14ac:dyDescent="0.25">
      <c r="A55" s="30" t="s">
        <v>110</v>
      </c>
      <c r="B55" s="31" t="s">
        <v>111</v>
      </c>
    </row>
    <row r="56" spans="1:2" x14ac:dyDescent="0.25">
      <c r="A56" s="30" t="s">
        <v>112</v>
      </c>
      <c r="B56" s="31" t="s">
        <v>113</v>
      </c>
    </row>
    <row r="57" spans="1:2" x14ac:dyDescent="0.25">
      <c r="A57" s="30" t="s">
        <v>114</v>
      </c>
      <c r="B57" s="31" t="s">
        <v>115</v>
      </c>
    </row>
    <row r="58" spans="1:2" x14ac:dyDescent="0.25">
      <c r="A58" s="30" t="s">
        <v>116</v>
      </c>
      <c r="B58" s="31" t="s">
        <v>117</v>
      </c>
    </row>
    <row r="59" spans="1:2" x14ac:dyDescent="0.25">
      <c r="A59" s="30" t="s">
        <v>118</v>
      </c>
      <c r="B59" s="31" t="s">
        <v>119</v>
      </c>
    </row>
    <row r="60" spans="1:2" x14ac:dyDescent="0.25">
      <c r="A60" s="30" t="s">
        <v>120</v>
      </c>
      <c r="B60" s="31" t="s">
        <v>121</v>
      </c>
    </row>
    <row r="61" spans="1:2" x14ac:dyDescent="0.25">
      <c r="A61" s="30" t="s">
        <v>122</v>
      </c>
      <c r="B61" s="31" t="s">
        <v>123</v>
      </c>
    </row>
    <row r="62" spans="1:2" x14ac:dyDescent="0.25">
      <c r="A62" s="30" t="s">
        <v>124</v>
      </c>
      <c r="B62" s="31" t="s">
        <v>125</v>
      </c>
    </row>
    <row r="63" spans="1:2" x14ac:dyDescent="0.25">
      <c r="A63" s="30" t="s">
        <v>126</v>
      </c>
      <c r="B63" s="31" t="s">
        <v>127</v>
      </c>
    </row>
    <row r="64" spans="1:2" x14ac:dyDescent="0.25">
      <c r="A64" s="30" t="s">
        <v>128</v>
      </c>
      <c r="B64" s="31" t="s">
        <v>129</v>
      </c>
    </row>
    <row r="65" spans="1:2" x14ac:dyDescent="0.25">
      <c r="A65" s="30" t="s">
        <v>130</v>
      </c>
      <c r="B65" s="31" t="s">
        <v>131</v>
      </c>
    </row>
    <row r="66" spans="1:2" x14ac:dyDescent="0.25">
      <c r="A66" s="30" t="s">
        <v>132</v>
      </c>
      <c r="B66" s="31" t="s">
        <v>133</v>
      </c>
    </row>
    <row r="67" spans="1:2" x14ac:dyDescent="0.25">
      <c r="A67" s="30" t="s">
        <v>134</v>
      </c>
      <c r="B67" s="31" t="s">
        <v>135</v>
      </c>
    </row>
    <row r="68" spans="1:2" x14ac:dyDescent="0.25">
      <c r="A68" s="30" t="s">
        <v>136</v>
      </c>
      <c r="B68" s="31" t="s">
        <v>137</v>
      </c>
    </row>
    <row r="69" spans="1:2" x14ac:dyDescent="0.25">
      <c r="A69" s="30" t="s">
        <v>138</v>
      </c>
      <c r="B69" s="31" t="s">
        <v>139</v>
      </c>
    </row>
    <row r="70" spans="1:2" x14ac:dyDescent="0.25">
      <c r="A70" s="30" t="s">
        <v>140</v>
      </c>
      <c r="B70" s="31" t="s">
        <v>141</v>
      </c>
    </row>
    <row r="71" spans="1:2" x14ac:dyDescent="0.25">
      <c r="A71" s="30" t="s">
        <v>142</v>
      </c>
      <c r="B71" s="31" t="s">
        <v>143</v>
      </c>
    </row>
    <row r="72" spans="1:2" x14ac:dyDescent="0.25">
      <c r="A72" s="30" t="s">
        <v>144</v>
      </c>
      <c r="B72" s="31" t="s">
        <v>145</v>
      </c>
    </row>
    <row r="73" spans="1:2" x14ac:dyDescent="0.25">
      <c r="A73" s="30" t="s">
        <v>146</v>
      </c>
      <c r="B73" s="31" t="s">
        <v>147</v>
      </c>
    </row>
    <row r="74" spans="1:2" x14ac:dyDescent="0.25">
      <c r="A74" s="30" t="s">
        <v>148</v>
      </c>
      <c r="B74" s="31" t="s">
        <v>149</v>
      </c>
    </row>
    <row r="75" spans="1:2" x14ac:dyDescent="0.25">
      <c r="A75" s="30" t="s">
        <v>150</v>
      </c>
      <c r="B75" s="32" t="s">
        <v>151</v>
      </c>
    </row>
    <row r="76" spans="1:2" x14ac:dyDescent="0.25">
      <c r="A76" s="30" t="s">
        <v>152</v>
      </c>
      <c r="B76" s="32" t="s">
        <v>153</v>
      </c>
    </row>
    <row r="77" spans="1:2" x14ac:dyDescent="0.25">
      <c r="A77" s="30" t="s">
        <v>154</v>
      </c>
      <c r="B77" s="32" t="s">
        <v>155</v>
      </c>
    </row>
    <row r="78" spans="1:2" x14ac:dyDescent="0.25">
      <c r="A78" s="30" t="s">
        <v>156</v>
      </c>
      <c r="B78" s="32" t="s">
        <v>157</v>
      </c>
    </row>
    <row r="79" spans="1:2" x14ac:dyDescent="0.25">
      <c r="A79" s="30" t="s">
        <v>158</v>
      </c>
      <c r="B79" s="32" t="s">
        <v>159</v>
      </c>
    </row>
    <row r="80" spans="1:2" x14ac:dyDescent="0.25">
      <c r="A80" s="30" t="s">
        <v>160</v>
      </c>
      <c r="B80" s="32" t="s">
        <v>161</v>
      </c>
    </row>
    <row r="81" spans="1:2" x14ac:dyDescent="0.25">
      <c r="A81" s="30" t="s">
        <v>162</v>
      </c>
      <c r="B81" s="32" t="s">
        <v>163</v>
      </c>
    </row>
    <row r="82" spans="1:2" x14ac:dyDescent="0.25">
      <c r="A82" s="30" t="s">
        <v>164</v>
      </c>
      <c r="B82" s="32" t="s">
        <v>165</v>
      </c>
    </row>
    <row r="83" spans="1:2" x14ac:dyDescent="0.25">
      <c r="A83" s="30" t="s">
        <v>166</v>
      </c>
      <c r="B83" s="32" t="s">
        <v>167</v>
      </c>
    </row>
    <row r="84" spans="1:2" x14ac:dyDescent="0.25">
      <c r="A84" s="30" t="s">
        <v>168</v>
      </c>
      <c r="B84" s="32" t="s">
        <v>169</v>
      </c>
    </row>
    <row r="85" spans="1:2" x14ac:dyDescent="0.25">
      <c r="A85" s="30" t="s">
        <v>170</v>
      </c>
      <c r="B85" s="32" t="s">
        <v>171</v>
      </c>
    </row>
    <row r="86" spans="1:2" x14ac:dyDescent="0.25">
      <c r="A86" s="30" t="s">
        <v>172</v>
      </c>
      <c r="B86" s="32" t="s">
        <v>173</v>
      </c>
    </row>
    <row r="87" spans="1:2" x14ac:dyDescent="0.25">
      <c r="A87" s="30" t="s">
        <v>174</v>
      </c>
      <c r="B87" s="32" t="s">
        <v>175</v>
      </c>
    </row>
    <row r="88" spans="1:2" x14ac:dyDescent="0.25">
      <c r="A88" s="30" t="s">
        <v>176</v>
      </c>
      <c r="B88" s="32" t="s">
        <v>177</v>
      </c>
    </row>
    <row r="89" spans="1:2" x14ac:dyDescent="0.25">
      <c r="A89" s="30" t="s">
        <v>178</v>
      </c>
      <c r="B89" s="32" t="s">
        <v>179</v>
      </c>
    </row>
    <row r="90" spans="1:2" x14ac:dyDescent="0.25">
      <c r="A90" s="30" t="s">
        <v>180</v>
      </c>
      <c r="B90" s="32" t="s">
        <v>181</v>
      </c>
    </row>
    <row r="91" spans="1:2" x14ac:dyDescent="0.25">
      <c r="A91" s="30" t="s">
        <v>182</v>
      </c>
      <c r="B91" s="32" t="s">
        <v>183</v>
      </c>
    </row>
    <row r="92" spans="1:2" x14ac:dyDescent="0.25">
      <c r="A92" s="30" t="s">
        <v>184</v>
      </c>
      <c r="B92" s="32" t="s">
        <v>185</v>
      </c>
    </row>
    <row r="93" spans="1:2" x14ac:dyDescent="0.25">
      <c r="A93" s="30" t="s">
        <v>186</v>
      </c>
      <c r="B93" s="32" t="s">
        <v>187</v>
      </c>
    </row>
    <row r="94" spans="1:2" x14ac:dyDescent="0.25">
      <c r="A94" s="30" t="s">
        <v>188</v>
      </c>
      <c r="B94" s="32" t="s">
        <v>189</v>
      </c>
    </row>
    <row r="95" spans="1:2" x14ac:dyDescent="0.25">
      <c r="A95" s="30" t="s">
        <v>190</v>
      </c>
      <c r="B95" s="32" t="s">
        <v>191</v>
      </c>
    </row>
    <row r="96" spans="1:2" x14ac:dyDescent="0.25">
      <c r="A96" s="30" t="s">
        <v>192</v>
      </c>
      <c r="B96" s="32" t="s">
        <v>193</v>
      </c>
    </row>
    <row r="97" spans="1:2" x14ac:dyDescent="0.25">
      <c r="A97" s="30" t="s">
        <v>194</v>
      </c>
      <c r="B97" s="32" t="s">
        <v>195</v>
      </c>
    </row>
    <row r="98" spans="1:2" x14ac:dyDescent="0.25">
      <c r="A98" s="30" t="s">
        <v>196</v>
      </c>
      <c r="B98" s="32" t="s">
        <v>197</v>
      </c>
    </row>
    <row r="99" spans="1:2" x14ac:dyDescent="0.25">
      <c r="A99" s="30" t="s">
        <v>198</v>
      </c>
      <c r="B99" s="32" t="s">
        <v>199</v>
      </c>
    </row>
    <row r="100" spans="1:2" x14ac:dyDescent="0.25">
      <c r="A100" s="30" t="s">
        <v>200</v>
      </c>
      <c r="B100" s="32" t="s">
        <v>201</v>
      </c>
    </row>
    <row r="101" spans="1:2" x14ac:dyDescent="0.25">
      <c r="A101" s="30" t="s">
        <v>202</v>
      </c>
      <c r="B101" s="32" t="s">
        <v>203</v>
      </c>
    </row>
    <row r="102" spans="1:2" x14ac:dyDescent="0.25">
      <c r="A102" s="30" t="s">
        <v>204</v>
      </c>
      <c r="B102" s="32" t="s">
        <v>205</v>
      </c>
    </row>
    <row r="103" spans="1:2" x14ac:dyDescent="0.25">
      <c r="A103" s="30" t="s">
        <v>206</v>
      </c>
      <c r="B103" s="32" t="s">
        <v>207</v>
      </c>
    </row>
    <row r="104" spans="1:2" x14ac:dyDescent="0.25">
      <c r="A104" s="30" t="s">
        <v>208</v>
      </c>
      <c r="B104" s="32" t="s">
        <v>209</v>
      </c>
    </row>
    <row r="105" spans="1:2" x14ac:dyDescent="0.25">
      <c r="A105" s="30" t="s">
        <v>210</v>
      </c>
      <c r="B105" s="32" t="s">
        <v>211</v>
      </c>
    </row>
    <row r="106" spans="1:2" x14ac:dyDescent="0.25">
      <c r="A106" s="30" t="s">
        <v>212</v>
      </c>
      <c r="B106" s="32" t="s">
        <v>213</v>
      </c>
    </row>
    <row r="107" spans="1:2" x14ac:dyDescent="0.25">
      <c r="A107" s="30" t="s">
        <v>214</v>
      </c>
      <c r="B107" s="32" t="s">
        <v>215</v>
      </c>
    </row>
    <row r="108" spans="1:2" x14ac:dyDescent="0.25">
      <c r="A108" s="30" t="s">
        <v>216</v>
      </c>
      <c r="B108" s="32" t="s">
        <v>217</v>
      </c>
    </row>
    <row r="109" spans="1:2" x14ac:dyDescent="0.25">
      <c r="A109" s="30" t="s">
        <v>218</v>
      </c>
      <c r="B109" s="32" t="s">
        <v>219</v>
      </c>
    </row>
    <row r="110" spans="1:2" x14ac:dyDescent="0.25">
      <c r="A110" s="30" t="s">
        <v>220</v>
      </c>
      <c r="B110" s="32" t="s">
        <v>221</v>
      </c>
    </row>
    <row r="111" spans="1:2" x14ac:dyDescent="0.25">
      <c r="A111" s="30" t="s">
        <v>222</v>
      </c>
      <c r="B111" s="32" t="s">
        <v>223</v>
      </c>
    </row>
    <row r="112" spans="1:2" x14ac:dyDescent="0.25">
      <c r="A112" s="30" t="s">
        <v>224</v>
      </c>
      <c r="B112" s="32" t="s">
        <v>225</v>
      </c>
    </row>
    <row r="113" spans="1:2" x14ac:dyDescent="0.25">
      <c r="A113" s="30" t="s">
        <v>226</v>
      </c>
      <c r="B113" s="32" t="s">
        <v>227</v>
      </c>
    </row>
    <row r="114" spans="1:2" x14ac:dyDescent="0.25">
      <c r="A114" s="30" t="s">
        <v>228</v>
      </c>
      <c r="B114" s="32" t="s">
        <v>229</v>
      </c>
    </row>
    <row r="115" spans="1:2" x14ac:dyDescent="0.25">
      <c r="A115" s="30" t="s">
        <v>230</v>
      </c>
      <c r="B115" s="32" t="s">
        <v>231</v>
      </c>
    </row>
    <row r="116" spans="1:2" x14ac:dyDescent="0.25">
      <c r="A116" s="30" t="s">
        <v>232</v>
      </c>
      <c r="B116" s="32" t="s">
        <v>233</v>
      </c>
    </row>
    <row r="117" spans="1:2" x14ac:dyDescent="0.25">
      <c r="A117" s="30" t="s">
        <v>234</v>
      </c>
      <c r="B117" s="32" t="s">
        <v>235</v>
      </c>
    </row>
    <row r="118" spans="1:2" x14ac:dyDescent="0.25">
      <c r="A118" s="30" t="s">
        <v>236</v>
      </c>
      <c r="B118" s="32" t="s">
        <v>237</v>
      </c>
    </row>
    <row r="119" spans="1:2" x14ac:dyDescent="0.25">
      <c r="A119" s="30" t="s">
        <v>238</v>
      </c>
      <c r="B119" s="32" t="s">
        <v>239</v>
      </c>
    </row>
    <row r="120" spans="1:2" x14ac:dyDescent="0.25">
      <c r="A120" s="30" t="s">
        <v>240</v>
      </c>
      <c r="B120" s="32" t="s">
        <v>241</v>
      </c>
    </row>
    <row r="121" spans="1:2" x14ac:dyDescent="0.25">
      <c r="A121" s="30" t="s">
        <v>242</v>
      </c>
      <c r="B121" s="32" t="s">
        <v>243</v>
      </c>
    </row>
    <row r="122" spans="1:2" x14ac:dyDescent="0.25">
      <c r="A122" s="30" t="s">
        <v>244</v>
      </c>
      <c r="B122" s="32" t="s">
        <v>245</v>
      </c>
    </row>
    <row r="123" spans="1:2" x14ac:dyDescent="0.25">
      <c r="A123" s="30" t="s">
        <v>246</v>
      </c>
      <c r="B123" s="32" t="s">
        <v>247</v>
      </c>
    </row>
    <row r="124" spans="1:2" x14ac:dyDescent="0.25">
      <c r="A124" s="30" t="s">
        <v>248</v>
      </c>
      <c r="B124" s="32" t="s">
        <v>249</v>
      </c>
    </row>
    <row r="125" spans="1:2" x14ac:dyDescent="0.25">
      <c r="A125" s="30" t="s">
        <v>250</v>
      </c>
      <c r="B125" s="32" t="s">
        <v>251</v>
      </c>
    </row>
    <row r="126" spans="1:2" x14ac:dyDescent="0.25">
      <c r="A126" s="30" t="s">
        <v>252</v>
      </c>
      <c r="B126" s="32" t="s">
        <v>253</v>
      </c>
    </row>
    <row r="127" spans="1:2" x14ac:dyDescent="0.25">
      <c r="A127" s="30" t="s">
        <v>254</v>
      </c>
      <c r="B127" s="32" t="s">
        <v>255</v>
      </c>
    </row>
    <row r="128" spans="1:2" x14ac:dyDescent="0.25">
      <c r="A128" s="30" t="s">
        <v>256</v>
      </c>
      <c r="B128" s="32" t="s">
        <v>257</v>
      </c>
    </row>
    <row r="129" spans="1:2" x14ac:dyDescent="0.25">
      <c r="A129" s="30" t="s">
        <v>258</v>
      </c>
      <c r="B129" s="32" t="s">
        <v>259</v>
      </c>
    </row>
    <row r="130" spans="1:2" x14ac:dyDescent="0.25">
      <c r="A130" s="30" t="s">
        <v>260</v>
      </c>
      <c r="B130" s="32" t="s">
        <v>261</v>
      </c>
    </row>
    <row r="131" spans="1:2" x14ac:dyDescent="0.25">
      <c r="A131" s="30" t="s">
        <v>262</v>
      </c>
      <c r="B131" s="32" t="s">
        <v>263</v>
      </c>
    </row>
    <row r="132" spans="1:2" x14ac:dyDescent="0.25">
      <c r="A132" s="30" t="s">
        <v>264</v>
      </c>
      <c r="B132" s="32" t="s">
        <v>265</v>
      </c>
    </row>
    <row r="133" spans="1:2" x14ac:dyDescent="0.25">
      <c r="A133" s="30" t="s">
        <v>266</v>
      </c>
      <c r="B133" s="32" t="s">
        <v>267</v>
      </c>
    </row>
    <row r="134" spans="1:2" x14ac:dyDescent="0.25">
      <c r="A134" s="30" t="s">
        <v>268</v>
      </c>
      <c r="B134" s="32" t="s">
        <v>269</v>
      </c>
    </row>
    <row r="135" spans="1:2" x14ac:dyDescent="0.25">
      <c r="A135" s="30" t="s">
        <v>270</v>
      </c>
      <c r="B135" s="32" t="s">
        <v>271</v>
      </c>
    </row>
    <row r="136" spans="1:2" x14ac:dyDescent="0.25">
      <c r="A136" s="30" t="s">
        <v>272</v>
      </c>
      <c r="B136" s="32" t="s">
        <v>273</v>
      </c>
    </row>
    <row r="137" spans="1:2" x14ac:dyDescent="0.25">
      <c r="A137" s="30" t="s">
        <v>274</v>
      </c>
      <c r="B137" s="32" t="s">
        <v>275</v>
      </c>
    </row>
    <row r="138" spans="1:2" x14ac:dyDescent="0.25">
      <c r="A138" s="30" t="s">
        <v>276</v>
      </c>
      <c r="B138" s="32" t="s">
        <v>277</v>
      </c>
    </row>
    <row r="139" spans="1:2" x14ac:dyDescent="0.25">
      <c r="A139" s="30" t="s">
        <v>278</v>
      </c>
      <c r="B139" s="32" t="s">
        <v>279</v>
      </c>
    </row>
    <row r="140" spans="1:2" x14ac:dyDescent="0.25">
      <c r="A140" s="30" t="s">
        <v>280</v>
      </c>
      <c r="B140" s="32" t="s">
        <v>281</v>
      </c>
    </row>
    <row r="141" spans="1:2" x14ac:dyDescent="0.25">
      <c r="A141" s="30" t="s">
        <v>282</v>
      </c>
      <c r="B141" s="32" t="s">
        <v>283</v>
      </c>
    </row>
    <row r="142" spans="1:2" x14ac:dyDescent="0.25">
      <c r="A142" s="30" t="s">
        <v>284</v>
      </c>
      <c r="B142" s="32" t="s">
        <v>285</v>
      </c>
    </row>
    <row r="143" spans="1:2" x14ac:dyDescent="0.25">
      <c r="A143" s="30" t="s">
        <v>286</v>
      </c>
      <c r="B143" s="32" t="s">
        <v>287</v>
      </c>
    </row>
    <row r="144" spans="1:2" x14ac:dyDescent="0.25">
      <c r="A144" s="30" t="s">
        <v>288</v>
      </c>
      <c r="B144" s="33" t="s">
        <v>289</v>
      </c>
    </row>
    <row r="145" spans="1:2" x14ac:dyDescent="0.25">
      <c r="A145" s="30" t="s">
        <v>290</v>
      </c>
      <c r="B145" s="32" t="s">
        <v>291</v>
      </c>
    </row>
    <row r="146" spans="1:2" x14ac:dyDescent="0.25">
      <c r="A146" s="30" t="s">
        <v>292</v>
      </c>
      <c r="B146" s="32" t="s">
        <v>293</v>
      </c>
    </row>
    <row r="147" spans="1:2" x14ac:dyDescent="0.25">
      <c r="A147" s="30" t="s">
        <v>294</v>
      </c>
      <c r="B147" s="32" t="s">
        <v>295</v>
      </c>
    </row>
    <row r="148" spans="1:2" x14ac:dyDescent="0.25">
      <c r="A148" s="30" t="s">
        <v>296</v>
      </c>
      <c r="B148" s="32" t="s">
        <v>297</v>
      </c>
    </row>
    <row r="149" spans="1:2" x14ac:dyDescent="0.25">
      <c r="A149" s="30" t="s">
        <v>298</v>
      </c>
      <c r="B149" s="32" t="s">
        <v>299</v>
      </c>
    </row>
    <row r="150" spans="1:2" x14ac:dyDescent="0.25">
      <c r="A150" s="30" t="s">
        <v>300</v>
      </c>
      <c r="B150" s="32" t="s">
        <v>301</v>
      </c>
    </row>
    <row r="151" spans="1:2" x14ac:dyDescent="0.25">
      <c r="A151" s="30" t="s">
        <v>302</v>
      </c>
      <c r="B151" s="32" t="s">
        <v>303</v>
      </c>
    </row>
    <row r="152" spans="1:2" x14ac:dyDescent="0.25">
      <c r="A152" s="30" t="s">
        <v>304</v>
      </c>
      <c r="B152" s="32" t="s">
        <v>305</v>
      </c>
    </row>
    <row r="153" spans="1:2" x14ac:dyDescent="0.25">
      <c r="A153" s="30" t="s">
        <v>306</v>
      </c>
      <c r="B153" s="32" t="s">
        <v>307</v>
      </c>
    </row>
    <row r="154" spans="1:2" x14ac:dyDescent="0.25">
      <c r="A154" s="30" t="s">
        <v>308</v>
      </c>
      <c r="B154" s="32" t="s">
        <v>309</v>
      </c>
    </row>
    <row r="155" spans="1:2" x14ac:dyDescent="0.25">
      <c r="A155" s="30" t="s">
        <v>310</v>
      </c>
      <c r="B155" s="32" t="s">
        <v>311</v>
      </c>
    </row>
    <row r="156" spans="1:2" x14ac:dyDescent="0.25">
      <c r="A156" s="30" t="s">
        <v>312</v>
      </c>
      <c r="B156" s="32" t="s">
        <v>313</v>
      </c>
    </row>
    <row r="157" spans="1:2" x14ac:dyDescent="0.25">
      <c r="A157" s="30" t="s">
        <v>314</v>
      </c>
      <c r="B157" s="32" t="s">
        <v>315</v>
      </c>
    </row>
    <row r="158" spans="1:2" x14ac:dyDescent="0.25">
      <c r="A158" s="30" t="s">
        <v>316</v>
      </c>
      <c r="B158" s="32" t="s">
        <v>317</v>
      </c>
    </row>
    <row r="159" spans="1:2" x14ac:dyDescent="0.25">
      <c r="A159" s="30" t="s">
        <v>318</v>
      </c>
      <c r="B159" s="32" t="s">
        <v>319</v>
      </c>
    </row>
    <row r="160" spans="1:2" x14ac:dyDescent="0.25">
      <c r="A160" s="30" t="s">
        <v>320</v>
      </c>
      <c r="B160" s="32" t="s">
        <v>321</v>
      </c>
    </row>
    <row r="161" spans="1:2" x14ac:dyDescent="0.25">
      <c r="A161" s="30" t="s">
        <v>322</v>
      </c>
      <c r="B161" s="32" t="s">
        <v>323</v>
      </c>
    </row>
    <row r="162" spans="1:2" x14ac:dyDescent="0.25">
      <c r="A162" s="30" t="s">
        <v>324</v>
      </c>
      <c r="B162" s="32" t="s">
        <v>325</v>
      </c>
    </row>
    <row r="163" spans="1:2" x14ac:dyDescent="0.25">
      <c r="A163" s="30" t="s">
        <v>326</v>
      </c>
      <c r="B163" s="32" t="s">
        <v>327</v>
      </c>
    </row>
    <row r="164" spans="1:2" x14ac:dyDescent="0.25">
      <c r="A164" s="30" t="s">
        <v>328</v>
      </c>
      <c r="B164" s="32" t="s">
        <v>329</v>
      </c>
    </row>
    <row r="165" spans="1:2" x14ac:dyDescent="0.25">
      <c r="A165" s="30" t="s">
        <v>330</v>
      </c>
      <c r="B165" s="32" t="s">
        <v>331</v>
      </c>
    </row>
    <row r="166" spans="1:2" x14ac:dyDescent="0.25">
      <c r="A166" s="30" t="s">
        <v>332</v>
      </c>
      <c r="B166" s="32" t="s">
        <v>333</v>
      </c>
    </row>
    <row r="167" spans="1:2" x14ac:dyDescent="0.25">
      <c r="A167" s="30" t="s">
        <v>334</v>
      </c>
      <c r="B167" s="32" t="s">
        <v>335</v>
      </c>
    </row>
    <row r="168" spans="1:2" x14ac:dyDescent="0.25">
      <c r="A168" s="30" t="s">
        <v>336</v>
      </c>
      <c r="B168" s="32" t="s">
        <v>337</v>
      </c>
    </row>
    <row r="169" spans="1:2" x14ac:dyDescent="0.25">
      <c r="A169" s="30" t="s">
        <v>338</v>
      </c>
      <c r="B169" s="32" t="s">
        <v>339</v>
      </c>
    </row>
    <row r="170" spans="1:2" x14ac:dyDescent="0.25">
      <c r="A170" s="30" t="s">
        <v>340</v>
      </c>
      <c r="B170" s="32" t="s">
        <v>341</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B4AEEE66ABB701488670DDA4F2261003" ma:contentTypeVersion="12" ma:contentTypeDescription="Create a new document." ma:contentTypeScope="" ma:versionID="9d4325c6d88b0194c7239b5820ffb801">
  <xsd:schema xmlns:xsd="http://www.w3.org/2001/XMLSchema" xmlns:xs="http://www.w3.org/2001/XMLSchema" xmlns:p="http://schemas.microsoft.com/office/2006/metadata/properties" xmlns:ns2="9dc44b34-9e2b-42ea-86f7-9ee7f71036fc" xmlns:ns3="3352a50b-fe51-4c0c-a9ac-ac90f8281031" targetNamespace="http://schemas.microsoft.com/office/2006/metadata/properties" ma:root="true" ma:fieldsID="1e4f7ff35e57e721504ad9d950a96c6c" ns2:_="" ns3:_="">
    <xsd:import namespace="9dc44b34-9e2b-42ea-86f7-9ee7f71036fc"/>
    <xsd:import namespace="3352a50b-fe51-4c0c-a9ac-ac90f8281031"/>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DateTaken" minOccurs="0"/>
                <xsd:element ref="ns2:MediaServiceLocation" minOccurs="0"/>
                <xsd:element ref="ns3:SharedWithUsers" minOccurs="0"/>
                <xsd:element ref="ns3:SharedWithDetails" minOccurs="0"/>
                <xsd:element ref="ns2:MediaServiceGenerationTime" minOccurs="0"/>
                <xsd:element ref="ns2:MediaServiceEventHashCode"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dc44b34-9e2b-42ea-86f7-9ee7f71036f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Location" ma:index="13" nillable="true" ma:displayName="Location" ma:internalName="MediaServiceLocatio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3352a50b-fe51-4c0c-a9ac-ac90f8281031"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93BB9294-EB2C-43FD-A26A-3A95E2255430}">
  <ds:schemaRefs>
    <ds:schemaRef ds:uri="http://schemas.microsoft.com/sharepoint/v3/contenttype/forms"/>
  </ds:schemaRefs>
</ds:datastoreItem>
</file>

<file path=customXml/itemProps2.xml><?xml version="1.0" encoding="utf-8"?>
<ds:datastoreItem xmlns:ds="http://schemas.openxmlformats.org/officeDocument/2006/customXml" ds:itemID="{84306A47-972E-47BE-9C1B-6EB254EF7A8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dc44b34-9e2b-42ea-86f7-9ee7f71036fc"/>
    <ds:schemaRef ds:uri="3352a50b-fe51-4c0c-a9ac-ac90f828103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F079AD25-5447-46AF-964C-4F6026B823DE}">
  <ds:schemaRefs>
    <ds:schemaRef ds:uri="http://www.w3.org/XML/1998/namespace"/>
    <ds:schemaRef ds:uri="http://purl.org/dc/dcmitype/"/>
    <ds:schemaRef ds:uri="http://schemas.microsoft.com/office/2006/documentManagement/types"/>
    <ds:schemaRef ds:uri="http://schemas.openxmlformats.org/package/2006/metadata/core-properties"/>
    <ds:schemaRef ds:uri="http://schemas.microsoft.com/office/2006/metadata/properties"/>
    <ds:schemaRef ds:uri="http://schemas.microsoft.com/office/infopath/2007/PartnerControls"/>
    <ds:schemaRef ds:uri="http://purl.org/dc/elements/1.1/"/>
    <ds:schemaRef ds:uri="3352a50b-fe51-4c0c-a9ac-ac90f8281031"/>
    <ds:schemaRef ds:uri="9dc44b34-9e2b-42ea-86f7-9ee7f71036fc"/>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8</vt:i4>
      </vt:variant>
      <vt:variant>
        <vt:lpstr>Plages nommées</vt:lpstr>
      </vt:variant>
      <vt:variant>
        <vt:i4>52</vt:i4>
      </vt:variant>
    </vt:vector>
  </HeadingPairs>
  <TitlesOfParts>
    <vt:vector size="60" baseType="lpstr">
      <vt:lpstr>coûts unitaires</vt:lpstr>
      <vt:lpstr>Répartition_Final</vt:lpstr>
      <vt:lpstr>PTA Initial OBS</vt:lpstr>
      <vt:lpstr>1) RF par produit</vt:lpstr>
      <vt:lpstr>2) RF par categorie budgetaire</vt:lpstr>
      <vt:lpstr>3) Pour utilisation par MPTFO</vt:lpstr>
      <vt:lpstr>Dropdowns</vt:lpstr>
      <vt:lpstr>Sheet2</vt:lpstr>
      <vt:lpstr>Répartition_Final!_ftn1</vt:lpstr>
      <vt:lpstr>Répartition_Final!_ftn2</vt:lpstr>
      <vt:lpstr>Répartition_Final!_ftnref2</vt:lpstr>
      <vt:lpstr>Répartition_Final!_ftnref3</vt:lpstr>
      <vt:lpstr>affichegdnb</vt:lpstr>
      <vt:lpstr>annonceradio</vt:lpstr>
      <vt:lpstr>appelindemn</vt:lpstr>
      <vt:lpstr>applicform</vt:lpstr>
      <vt:lpstr>boost</vt:lpstr>
      <vt:lpstr>change</vt:lpstr>
      <vt:lpstr>connexapprenants</vt:lpstr>
      <vt:lpstr>delairoute</vt:lpstr>
      <vt:lpstr>depladist</vt:lpstr>
      <vt:lpstr>deplanat</vt:lpstr>
      <vt:lpstr>deplareg</vt:lpstr>
      <vt:lpstr>depliantgdnb</vt:lpstr>
      <vt:lpstr>doccoul</vt:lpstr>
      <vt:lpstr>docnb</vt:lpstr>
      <vt:lpstr>formindemn</vt:lpstr>
      <vt:lpstr>formindemnobs</vt:lpstr>
      <vt:lpstr>fournituresatelier</vt:lpstr>
      <vt:lpstr>goodies</vt:lpstr>
      <vt:lpstr>infographiste</vt:lpstr>
      <vt:lpstr>juristes</vt:lpstr>
      <vt:lpstr>numeroverts</vt:lpstr>
      <vt:lpstr>obsformindemn</vt:lpstr>
      <vt:lpstr>OBSindemn</vt:lpstr>
      <vt:lpstr>perdiemdist</vt:lpstr>
      <vt:lpstr>perdiemnat</vt:lpstr>
      <vt:lpstr>perdiemreg</vt:lpstr>
      <vt:lpstr>Répartition_Final!Personnel</vt:lpstr>
      <vt:lpstr>photodessin</vt:lpstr>
      <vt:lpstr>radioreportprod</vt:lpstr>
      <vt:lpstr>reportprod</vt:lpstr>
      <vt:lpstr>restodist</vt:lpstr>
      <vt:lpstr>restonat</vt:lpstr>
      <vt:lpstr>restoreg</vt:lpstr>
      <vt:lpstr>RSOCindemn</vt:lpstr>
      <vt:lpstr>RSOFindemn</vt:lpstr>
      <vt:lpstr>salle</vt:lpstr>
      <vt:lpstr>sallenat</vt:lpstr>
      <vt:lpstr>sallereg</vt:lpstr>
      <vt:lpstr>smsOBS</vt:lpstr>
      <vt:lpstr>spot</vt:lpstr>
      <vt:lpstr>spotradiodif</vt:lpstr>
      <vt:lpstr>spottvdif</vt:lpstr>
      <vt:lpstr>tadindemn</vt:lpstr>
      <vt:lpstr>teleconseiller</vt:lpstr>
      <vt:lpstr>tvreportprod</vt:lpstr>
      <vt:lpstr>tvreportprodnat</vt:lpstr>
      <vt:lpstr>tvreportprodreg</vt:lpstr>
      <vt:lpstr>'1) RF par produit'!Zone_d_impression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Jelena Zelenovic</dc:creator>
  <cp:lastModifiedBy>ICT_PROVIDER</cp:lastModifiedBy>
  <cp:lastPrinted>2021-11-24T16:08:19Z</cp:lastPrinted>
  <dcterms:created xsi:type="dcterms:W3CDTF">2017-11-15T21:17:43Z</dcterms:created>
  <dcterms:modified xsi:type="dcterms:W3CDTF">2022-06-02T14:41:58Z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0x010100B4AEEE66ABB701488670DDA4F2261003</vt:lpwstr>
  </property>
  <property fmtid="{D5CDD505-2E9C-101B-9397-08002B2CF9AE}" pid="3" name="Order">
    <vt:r8>2244800</vt:r8>
  </property>
</Properties>
</file>