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OBS MADA\"/>
    </mc:Choice>
  </mc:AlternateContent>
  <xr:revisionPtr revIDLastSave="0" documentId="8_{7A08D744-A196-44F1-BC4F-C9C9786F67A0}" xr6:coauthVersionLast="46" xr6:coauthVersionMax="46" xr10:uidLastSave="{00000000-0000-0000-0000-000000000000}"/>
  <bookViews>
    <workbookView xWindow="-120" yWindow="-120" windowWidth="20730" windowHeight="11160" tabRatio="696" firstSheet="3" activeTab="4" xr2:uid="{00000000-000D-0000-FFFF-FFFF00000000}"/>
  </bookViews>
  <sheets>
    <sheet name="coûts unitaires" sheetId="11" state="hidden" r:id="rId1"/>
    <sheet name="Répartition_Final" sheetId="14" state="hidden" r:id="rId2"/>
    <sheet name="PTA Initial OBS" sheetId="16" state="hidden" r:id="rId3"/>
    <sheet name="1) RF par produit" sheetId="1" r:id="rId4"/>
    <sheet name="2) RF par categorie budgetaire" sheetId="5" r:id="rId5"/>
    <sheet name="3) Pour utilisation par MPTFO" sheetId="15" r:id="rId6"/>
    <sheet name="Dropdowns" sheetId="8" state="hidden" r:id="rId7"/>
    <sheet name="Sheet2" sheetId="7" state="hidden" r:id="rId8"/>
  </sheets>
  <externalReferences>
    <externalReference r:id="rId9"/>
  </externalReferences>
  <definedNames>
    <definedName name="_xlnm._FilterDatabase" localSheetId="2" hidden="1">'PTA Initial OBS'!$A$1:$P$135</definedName>
    <definedName name="_ftn1" localSheetId="1">Répartition_Final!$B$90</definedName>
    <definedName name="_ftn2" localSheetId="1">Répartition_Final!$B$91</definedName>
    <definedName name="_ftnref1" localSheetId="1">Répartition_Final!#REF!</definedName>
    <definedName name="_ftnref2" localSheetId="1">Répartition_Final!$B$56</definedName>
    <definedName name="_ftnref3" localSheetId="1">Répartition_Final!$B$47</definedName>
    <definedName name="A111P" localSheetId="1">Répartition_Final!#REF!</definedName>
    <definedName name="A111P">#REF!</definedName>
    <definedName name="A111R" localSheetId="1">Répartition_Final!#REF!</definedName>
    <definedName name="A111R">#REF!</definedName>
    <definedName name="A112P" localSheetId="1">Répartition_Final!#REF!</definedName>
    <definedName name="A112P">#REF!</definedName>
    <definedName name="A112R" localSheetId="1">Répartition_Final!#REF!</definedName>
    <definedName name="A112R">#REF!</definedName>
    <definedName name="A113P" localSheetId="1">Répartition_Final!#REF!</definedName>
    <definedName name="A113P">#REF!</definedName>
    <definedName name="A113R" localSheetId="1">Répartition_Final!#REF!</definedName>
    <definedName name="A113R">#REF!</definedName>
    <definedName name="A121P" localSheetId="1">Répartition_Final!#REF!</definedName>
    <definedName name="A121P">#REF!</definedName>
    <definedName name="A121R" localSheetId="1">Répartition_Final!#REF!</definedName>
    <definedName name="A121R">#REF!</definedName>
    <definedName name="A122P" localSheetId="1">Répartition_Final!#REF!</definedName>
    <definedName name="A122P">#REF!</definedName>
    <definedName name="A122R" localSheetId="1">Répartition_Final!#REF!</definedName>
    <definedName name="A122R">#REF!</definedName>
    <definedName name="A211P" localSheetId="1">Répartition_Final!#REF!</definedName>
    <definedName name="A211P">#REF!</definedName>
    <definedName name="A211R" localSheetId="1">Répartition_Final!#REF!</definedName>
    <definedName name="A211R">#REF!</definedName>
    <definedName name="A212P" localSheetId="1">Répartition_Final!#REF!</definedName>
    <definedName name="A212P">#REF!</definedName>
    <definedName name="A212R" localSheetId="1">Répartition_Final!#REF!</definedName>
    <definedName name="A212R">#REF!</definedName>
    <definedName name="A221P" localSheetId="1">Répartition_Final!#REF!</definedName>
    <definedName name="A221P">#REF!</definedName>
    <definedName name="A221R" localSheetId="1">Répartition_Final!#REF!</definedName>
    <definedName name="A221R">#REF!</definedName>
    <definedName name="A222P" localSheetId="1">Répartition_Final!#REF!</definedName>
    <definedName name="A222P">#REF!</definedName>
    <definedName name="A222R" localSheetId="1">Répartition_Final!#REF!</definedName>
    <definedName name="A222R">#REF!</definedName>
    <definedName name="A223P" localSheetId="1">Répartition_Final!#REF!</definedName>
    <definedName name="A223P">#REF!</definedName>
    <definedName name="A223R" localSheetId="1">Répartition_Final!#REF!</definedName>
    <definedName name="A223R">#REF!</definedName>
    <definedName name="A311P" localSheetId="1">Répartition_Final!#REF!</definedName>
    <definedName name="A311P">#REF!</definedName>
    <definedName name="A311R" localSheetId="1">Répartition_Final!#REF!</definedName>
    <definedName name="A311R">#REF!</definedName>
    <definedName name="A312P" localSheetId="1">Répartition_Final!#REF!</definedName>
    <definedName name="A312P">#REF!</definedName>
    <definedName name="A312R" localSheetId="1">Répartition_Final!#REF!</definedName>
    <definedName name="A312R">#REF!</definedName>
    <definedName name="A313P" localSheetId="1">Répartition_Final!#REF!</definedName>
    <definedName name="A313P">#REF!</definedName>
    <definedName name="A313R" localSheetId="1">Répartition_Final!#REF!</definedName>
    <definedName name="A313R">#REF!</definedName>
    <definedName name="A314P" localSheetId="1">Répartition_Final!#REF!</definedName>
    <definedName name="A314P">#REF!</definedName>
    <definedName name="A314R" localSheetId="1">Répartition_Final!#REF!</definedName>
    <definedName name="A314R">#REF!</definedName>
    <definedName name="A321P" localSheetId="1">Répartition_Final!#REF!</definedName>
    <definedName name="A321P">#REF!</definedName>
    <definedName name="A321R" localSheetId="1">Répartition_Final!#REF!</definedName>
    <definedName name="A321R">#REF!</definedName>
    <definedName name="A322P" localSheetId="1">Répartition_Final!#REF!</definedName>
    <definedName name="A322P">#REF!</definedName>
    <definedName name="A322R" localSheetId="1">Répartition_Final!#REF!</definedName>
    <definedName name="A322R">#REF!</definedName>
    <definedName name="A323P" localSheetId="1">Répartition_Final!#REF!</definedName>
    <definedName name="A323P">#REF!</definedName>
    <definedName name="A323R" localSheetId="1">Répartition_Final!#REF!</definedName>
    <definedName name="A323R">#REF!</definedName>
    <definedName name="A331P" localSheetId="1">Répartition_Final!#REF!</definedName>
    <definedName name="A331P">#REF!</definedName>
    <definedName name="affichegdnb">'coûts unitaires'!$B$20</definedName>
    <definedName name="annonceradio">'coûts unitaires'!$B$6</definedName>
    <definedName name="appelindemn">'coûts unitaires'!$B$59</definedName>
    <definedName name="applicform">'coûts unitaires'!$B$63</definedName>
    <definedName name="boost">'coûts unitaires'!$B$7</definedName>
    <definedName name="change">'coûts unitaires'!$B$1</definedName>
    <definedName name="connexapprenants">'coûts unitaires'!$B$51</definedName>
    <definedName name="delairoute">'coûts unitaires'!$B$71</definedName>
    <definedName name="depladist">'coûts unitaires'!$B$46</definedName>
    <definedName name="deplanat">'coûts unitaires'!$B$33</definedName>
    <definedName name="deplareg">'coûts unitaires'!$B$40</definedName>
    <definedName name="depliantgdnb">'coûts unitaires'!$B$21</definedName>
    <definedName name="doccoul">'coûts unitaires'!$B$18</definedName>
    <definedName name="docnb">'coûts unitaires'!$B$19</definedName>
    <definedName name="formindemn">'coûts unitaires'!$B$24</definedName>
    <definedName name="formindemnobs">'coûts unitaires'!$B$24</definedName>
    <definedName name="fournituresatelier">'coûts unitaires'!$B$3</definedName>
    <definedName name="goodies">'coûts unitaires'!$B$17</definedName>
    <definedName name="infographiste">'coûts unitaires'!$B$14</definedName>
    <definedName name="juristes">'coûts unitaires'!$B$66</definedName>
    <definedName name="numeroverts">'coûts unitaires'!$B$57</definedName>
    <definedName name="obsformindemn">'coûts unitaires'!$B$25</definedName>
    <definedName name="OBSindemn">'coûts unitaires'!$B$56</definedName>
    <definedName name="P11A1" localSheetId="1">Répartition_Final!#REF!</definedName>
    <definedName name="P11A1">#REF!</definedName>
    <definedName name="perdiemdist">'coûts unitaires'!$B$47</definedName>
    <definedName name="perdiemnat">'coûts unitaires'!$B$34</definedName>
    <definedName name="perdiemreg">'coûts unitaires'!$B$41</definedName>
    <definedName name="Personnel" localSheetId="1">Répartition_Final!$F$93</definedName>
    <definedName name="Personnel">#REF!</definedName>
    <definedName name="photodessin">'coûts unitaires'!$B$16</definedName>
    <definedName name="Produit11" localSheetId="1">Répartition_Final!#REF!</definedName>
    <definedName name="Produit11">#REF!</definedName>
    <definedName name="Produit12" localSheetId="1">Répartition_Final!#REF!</definedName>
    <definedName name="Produit12">#REF!</definedName>
    <definedName name="Produit21" localSheetId="1">Répartition_Final!#REF!</definedName>
    <definedName name="Produit21">#REF!</definedName>
    <definedName name="Produit22" localSheetId="1">Répartition_Final!#REF!</definedName>
    <definedName name="Produit22">#REF!</definedName>
    <definedName name="Produit31" localSheetId="1">Répartition_Final!#REF!</definedName>
    <definedName name="Produit31">#REF!</definedName>
    <definedName name="Produit32" localSheetId="1">Répartition_Final!#REF!</definedName>
    <definedName name="Produit32">#REF!</definedName>
    <definedName name="radioreportprod">'coûts unitaires'!$B$10</definedName>
    <definedName name="reportprod">'coûts unitaires'!$B$10</definedName>
    <definedName name="restodist">'coûts unitaires'!$B$45</definedName>
    <definedName name="restonat">'coûts unitaires'!$B$32</definedName>
    <definedName name="restoreg">'coûts unitaires'!$B$39</definedName>
    <definedName name="Resultat1" localSheetId="1">Répartition_Final!#REF!</definedName>
    <definedName name="Resultat1">#REF!</definedName>
    <definedName name="Resultat2" localSheetId="1">Répartition_Final!#REF!</definedName>
    <definedName name="Resultat2">#REF!</definedName>
    <definedName name="Resultat3" localSheetId="1">Répartition_Final!#REF!</definedName>
    <definedName name="Resultat3">#REF!</definedName>
    <definedName name="RSOCindemn">'coûts unitaires'!$B$55</definedName>
    <definedName name="RSOFindemn">'coûts unitaires'!$B$55</definedName>
    <definedName name="salle">'coûts unitaires'!$B$35</definedName>
    <definedName name="sallenat">'coûts unitaires'!$B$35</definedName>
    <definedName name="sallereg">'coûts unitaires'!$B$42</definedName>
    <definedName name="smsOBS">'coûts unitaires'!$B$60</definedName>
    <definedName name="spot">'coûts unitaires'!$B$15</definedName>
    <definedName name="spotprod" localSheetId="1">'coûts unitaires'!#REF!</definedName>
    <definedName name="spotprod">'coûts unitaires'!#REF!</definedName>
    <definedName name="spotradiodif">'coûts unitaires'!$B$8</definedName>
    <definedName name="spottvdif">'coûts unitaires'!$B$9</definedName>
    <definedName name="tadindemn">'coûts unitaires'!$B$54</definedName>
    <definedName name="teleconseiller">'coûts unitaires'!$B$58</definedName>
    <definedName name="tvreportprod">'coûts unitaires'!$B$11</definedName>
    <definedName name="tvreportprodnat">'coûts unitaires'!$B$12</definedName>
    <definedName name="tvreportprodreg">'coûts unitaires'!$B$11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3" i="5" l="1"/>
  <c r="H92" i="5"/>
  <c r="H97" i="5"/>
  <c r="H96" i="5"/>
  <c r="H95" i="5"/>
  <c r="H94" i="5"/>
  <c r="K42" i="1" l="1"/>
  <c r="K43" i="1"/>
  <c r="K41" i="1"/>
  <c r="K44" i="1" s="1"/>
  <c r="K35" i="1"/>
  <c r="K36" i="1"/>
  <c r="K37" i="1"/>
  <c r="K38" i="1"/>
  <c r="K34" i="1"/>
  <c r="K29" i="1"/>
  <c r="K26" i="1"/>
  <c r="K23" i="1"/>
  <c r="K22" i="1"/>
  <c r="K17" i="1"/>
  <c r="K15" i="1"/>
  <c r="K12" i="1"/>
  <c r="K11" i="1"/>
  <c r="K10" i="1"/>
  <c r="K46" i="1"/>
  <c r="K39" i="1" l="1"/>
  <c r="K24" i="1"/>
  <c r="K13" i="1"/>
  <c r="I13" i="1"/>
  <c r="F117" i="5" l="1"/>
  <c r="P79" i="16" l="1"/>
  <c r="P78" i="16"/>
  <c r="P77" i="16"/>
  <c r="P44" i="16"/>
  <c r="P43" i="16"/>
  <c r="P42" i="16"/>
  <c r="P5" i="16"/>
  <c r="P4" i="16"/>
  <c r="P3" i="16"/>
  <c r="P120" i="16" l="1"/>
  <c r="P134" i="16" s="1"/>
  <c r="P121" i="16"/>
  <c r="P135" i="16" s="1"/>
  <c r="P119" i="16"/>
  <c r="P133" i="16" l="1"/>
  <c r="H91" i="5"/>
  <c r="J28" i="1"/>
  <c r="K28" i="1" s="1"/>
  <c r="J27" i="1"/>
  <c r="E29" i="1"/>
  <c r="J16" i="1"/>
  <c r="J13" i="1"/>
  <c r="J30" i="1" l="1"/>
  <c r="K27" i="1"/>
  <c r="K30" i="1" s="1"/>
  <c r="J18" i="1"/>
  <c r="K16" i="1"/>
  <c r="K18" i="1" s="1"/>
  <c r="E37" i="1"/>
  <c r="I43" i="5" l="1"/>
  <c r="I44" i="5"/>
  <c r="I45" i="5"/>
  <c r="I46" i="5"/>
  <c r="I47" i="5"/>
  <c r="I48" i="5"/>
  <c r="I42" i="5"/>
  <c r="I56" i="5"/>
  <c r="I57" i="5"/>
  <c r="I58" i="5"/>
  <c r="I59" i="5"/>
  <c r="I60" i="5"/>
  <c r="I61" i="5"/>
  <c r="I55" i="5"/>
  <c r="I32" i="5"/>
  <c r="I33" i="5"/>
  <c r="I34" i="5"/>
  <c r="I35" i="5"/>
  <c r="I36" i="5"/>
  <c r="I37" i="5"/>
  <c r="I31" i="5"/>
  <c r="G98" i="5" l="1"/>
  <c r="H98" i="5"/>
  <c r="E77" i="5"/>
  <c r="E91" i="5" s="1"/>
  <c r="H99" i="5" l="1"/>
  <c r="I99" i="5" s="1"/>
  <c r="I80" i="5"/>
  <c r="C117" i="5"/>
  <c r="I117" i="5" s="1"/>
  <c r="G100" i="5"/>
  <c r="D112" i="5" s="1"/>
  <c r="D118" i="5" s="1"/>
  <c r="E23" i="15"/>
  <c r="D23" i="15"/>
  <c r="C23" i="15"/>
  <c r="F22" i="15"/>
  <c r="E22" i="15"/>
  <c r="D22" i="15"/>
  <c r="C22" i="15"/>
  <c r="F21" i="15"/>
  <c r="E21" i="15"/>
  <c r="D21" i="15"/>
  <c r="C21" i="15"/>
  <c r="F20" i="15"/>
  <c r="E20" i="15"/>
  <c r="D20" i="15"/>
  <c r="C20" i="15"/>
  <c r="D19" i="15"/>
  <c r="C19" i="15"/>
  <c r="D13" i="15"/>
  <c r="C13" i="15"/>
  <c r="D12" i="15"/>
  <c r="C12" i="15"/>
  <c r="D11" i="15"/>
  <c r="C11" i="15"/>
  <c r="D10" i="15"/>
  <c r="C10" i="15"/>
  <c r="D9" i="15"/>
  <c r="C9" i="15"/>
  <c r="D8" i="15"/>
  <c r="C8" i="15"/>
  <c r="D7" i="15"/>
  <c r="C7" i="15"/>
  <c r="D6" i="15"/>
  <c r="C6" i="15"/>
  <c r="I97" i="5"/>
  <c r="I95" i="5"/>
  <c r="I94" i="5"/>
  <c r="I93" i="5"/>
  <c r="I92" i="5"/>
  <c r="I91" i="5"/>
  <c r="E90" i="5"/>
  <c r="D90" i="5"/>
  <c r="I82" i="5"/>
  <c r="F82" i="5"/>
  <c r="I78" i="5"/>
  <c r="D77" i="5"/>
  <c r="D91" i="5" s="1"/>
  <c r="E76" i="5"/>
  <c r="E83" i="5" s="1"/>
  <c r="D76" i="5"/>
  <c r="H73" i="5"/>
  <c r="G73" i="5"/>
  <c r="G65" i="5" s="1"/>
  <c r="I72" i="5"/>
  <c r="F72" i="5"/>
  <c r="I71" i="5"/>
  <c r="I70" i="5"/>
  <c r="I69" i="5"/>
  <c r="I68" i="5"/>
  <c r="F68" i="5"/>
  <c r="I67" i="5"/>
  <c r="I66" i="5"/>
  <c r="F66" i="5"/>
  <c r="H65" i="5"/>
  <c r="E65" i="5"/>
  <c r="E70" i="5" s="1"/>
  <c r="D65" i="5"/>
  <c r="I62" i="5"/>
  <c r="I54" i="5" s="1"/>
  <c r="H62" i="5"/>
  <c r="H54" i="5" s="1"/>
  <c r="G62" i="5"/>
  <c r="G54" i="5" s="1"/>
  <c r="F61" i="5"/>
  <c r="F55" i="5"/>
  <c r="E54" i="5"/>
  <c r="E58" i="5" s="1"/>
  <c r="F58" i="5" s="1"/>
  <c r="D54" i="5"/>
  <c r="I49" i="5"/>
  <c r="I41" i="5" s="1"/>
  <c r="H49" i="5"/>
  <c r="G49" i="5"/>
  <c r="G41" i="5" s="1"/>
  <c r="F42" i="5"/>
  <c r="E41" i="5"/>
  <c r="E45" i="5" s="1"/>
  <c r="F45" i="5" s="1"/>
  <c r="D41" i="5"/>
  <c r="D47" i="5" s="1"/>
  <c r="I38" i="5"/>
  <c r="I30" i="5" s="1"/>
  <c r="H38" i="5"/>
  <c r="H30" i="5" s="1"/>
  <c r="G38" i="5"/>
  <c r="G30" i="5" s="1"/>
  <c r="F37" i="5"/>
  <c r="F35" i="5"/>
  <c r="F33" i="5"/>
  <c r="F32" i="5"/>
  <c r="F31" i="5"/>
  <c r="E30" i="5"/>
  <c r="E34" i="5" s="1"/>
  <c r="D30" i="5"/>
  <c r="D36" i="5" s="1"/>
  <c r="H26" i="5"/>
  <c r="G26" i="5"/>
  <c r="G18" i="5" s="1"/>
  <c r="I25" i="5"/>
  <c r="I24" i="5"/>
  <c r="I23" i="5"/>
  <c r="I22" i="5"/>
  <c r="I21" i="5"/>
  <c r="I20" i="5"/>
  <c r="I19" i="5"/>
  <c r="F19" i="5"/>
  <c r="H18" i="5"/>
  <c r="E18" i="5"/>
  <c r="E21" i="5" s="1"/>
  <c r="D18" i="5"/>
  <c r="D25" i="5" s="1"/>
  <c r="H15" i="5"/>
  <c r="G15" i="5"/>
  <c r="G7" i="5" s="1"/>
  <c r="I14" i="5"/>
  <c r="I13" i="5"/>
  <c r="I12" i="5"/>
  <c r="I11" i="5"/>
  <c r="I10" i="5"/>
  <c r="I9" i="5"/>
  <c r="I8" i="5"/>
  <c r="F8" i="5"/>
  <c r="E7" i="5"/>
  <c r="E9" i="5" s="1"/>
  <c r="D7" i="5"/>
  <c r="D9" i="5" s="1"/>
  <c r="E4" i="5"/>
  <c r="D4" i="5"/>
  <c r="K55" i="1"/>
  <c r="J55" i="1"/>
  <c r="I55" i="1"/>
  <c r="K49" i="1"/>
  <c r="K48" i="1"/>
  <c r="K47" i="1"/>
  <c r="J50" i="1"/>
  <c r="J56" i="1" s="1"/>
  <c r="I50" i="1"/>
  <c r="E10" i="15" l="1"/>
  <c r="D60" i="5"/>
  <c r="F60" i="5" s="1"/>
  <c r="D57" i="5"/>
  <c r="D69" i="5"/>
  <c r="D67" i="5"/>
  <c r="D92" i="5" s="1"/>
  <c r="D71" i="5"/>
  <c r="D70" i="5"/>
  <c r="J57" i="1"/>
  <c r="K57" i="1" s="1"/>
  <c r="H41" i="5"/>
  <c r="H7" i="5"/>
  <c r="E7" i="15"/>
  <c r="E9" i="15"/>
  <c r="E13" i="15"/>
  <c r="H100" i="5"/>
  <c r="E12" i="15"/>
  <c r="H84" i="5"/>
  <c r="G84" i="5"/>
  <c r="G76" i="5" s="1"/>
  <c r="I83" i="5"/>
  <c r="I79" i="5"/>
  <c r="D14" i="15"/>
  <c r="E11" i="15"/>
  <c r="E8" i="15"/>
  <c r="I81" i="5"/>
  <c r="I77" i="5"/>
  <c r="D111" i="5"/>
  <c r="D83" i="5"/>
  <c r="E81" i="5"/>
  <c r="F77" i="5"/>
  <c r="D23" i="5"/>
  <c r="E11" i="5"/>
  <c r="E23" i="5"/>
  <c r="F18" i="5"/>
  <c r="I26" i="5"/>
  <c r="I18" i="5" s="1"/>
  <c r="E22" i="5"/>
  <c r="F22" i="5" s="1"/>
  <c r="E47" i="5"/>
  <c r="E96" i="5" s="1"/>
  <c r="D21" i="5"/>
  <c r="F21" i="5" s="1"/>
  <c r="I73" i="5"/>
  <c r="I65" i="5" s="1"/>
  <c r="E10" i="5"/>
  <c r="F10" i="5" s="1"/>
  <c r="I15" i="5"/>
  <c r="I7" i="5" s="1"/>
  <c r="D24" i="5"/>
  <c r="F24" i="5" s="1"/>
  <c r="C14" i="15"/>
  <c r="F9" i="5"/>
  <c r="F25" i="5"/>
  <c r="F36" i="5"/>
  <c r="D38" i="5"/>
  <c r="D49" i="5"/>
  <c r="F34" i="5"/>
  <c r="E38" i="5"/>
  <c r="D14" i="5"/>
  <c r="F14" i="5" s="1"/>
  <c r="E46" i="5"/>
  <c r="F46" i="5" s="1"/>
  <c r="E59" i="5"/>
  <c r="F59" i="5" s="1"/>
  <c r="F7" i="5"/>
  <c r="D13" i="5"/>
  <c r="F13" i="5" s="1"/>
  <c r="E20" i="5"/>
  <c r="F41" i="5"/>
  <c r="E48" i="5"/>
  <c r="E97" i="5" s="1"/>
  <c r="F54" i="5"/>
  <c r="F65" i="5"/>
  <c r="D79" i="5"/>
  <c r="D80" i="5"/>
  <c r="D81" i="5"/>
  <c r="F91" i="5"/>
  <c r="F30" i="5"/>
  <c r="E44" i="5"/>
  <c r="E67" i="5"/>
  <c r="D11" i="5"/>
  <c r="D12" i="5"/>
  <c r="F12" i="5" s="1"/>
  <c r="E43" i="5"/>
  <c r="E56" i="5"/>
  <c r="E69" i="5"/>
  <c r="F76" i="5"/>
  <c r="E78" i="5"/>
  <c r="F78" i="5" s="1"/>
  <c r="E79" i="5"/>
  <c r="E80" i="5"/>
  <c r="K50" i="1"/>
  <c r="E93" i="5" l="1"/>
  <c r="E94" i="5"/>
  <c r="D96" i="5"/>
  <c r="F96" i="5" s="1"/>
  <c r="F67" i="5"/>
  <c r="E92" i="5"/>
  <c r="F92" i="5" s="1"/>
  <c r="D94" i="5"/>
  <c r="E95" i="5"/>
  <c r="D95" i="5"/>
  <c r="D93" i="5"/>
  <c r="D97" i="5"/>
  <c r="D117" i="5"/>
  <c r="F111" i="5"/>
  <c r="J58" i="1"/>
  <c r="D15" i="15"/>
  <c r="D16" i="15" s="1"/>
  <c r="H76" i="5"/>
  <c r="F83" i="5"/>
  <c r="I84" i="5"/>
  <c r="I76" i="5" s="1"/>
  <c r="F81" i="5"/>
  <c r="F11" i="5"/>
  <c r="F47" i="5"/>
  <c r="F38" i="5"/>
  <c r="E15" i="5"/>
  <c r="D26" i="5"/>
  <c r="F23" i="5"/>
  <c r="E14" i="15"/>
  <c r="C15" i="15"/>
  <c r="C16" i="15" s="1"/>
  <c r="E49" i="5"/>
  <c r="F49" i="5" s="1"/>
  <c r="F43" i="5"/>
  <c r="D62" i="5"/>
  <c r="F57" i="5"/>
  <c r="E73" i="5"/>
  <c r="F71" i="5"/>
  <c r="E26" i="5"/>
  <c r="F20" i="5"/>
  <c r="F70" i="5"/>
  <c r="F44" i="5"/>
  <c r="F80" i="5"/>
  <c r="F69" i="5"/>
  <c r="D15" i="5"/>
  <c r="D73" i="5"/>
  <c r="F48" i="5"/>
  <c r="E62" i="5"/>
  <c r="F56" i="5"/>
  <c r="E84" i="5"/>
  <c r="D84" i="5"/>
  <c r="F79" i="5"/>
  <c r="F26" i="5" l="1"/>
  <c r="I96" i="5"/>
  <c r="I98" i="5" s="1"/>
  <c r="I100" i="5" s="1"/>
  <c r="F95" i="5"/>
  <c r="F97" i="5"/>
  <c r="F15" i="5"/>
  <c r="F94" i="5"/>
  <c r="E15" i="15"/>
  <c r="E16" i="15" s="1"/>
  <c r="F73" i="5"/>
  <c r="E98" i="5"/>
  <c r="F93" i="5"/>
  <c r="D98" i="5"/>
  <c r="F84" i="5"/>
  <c r="F62" i="5"/>
  <c r="D106" i="5" l="1"/>
  <c r="D107" i="5"/>
  <c r="G118" i="5" s="1"/>
  <c r="J118" i="5" s="1"/>
  <c r="D99" i="5"/>
  <c r="D100" i="5" s="1"/>
  <c r="C112" i="5" s="1"/>
  <c r="C118" i="5" s="1"/>
  <c r="F98" i="5"/>
  <c r="E99" i="5"/>
  <c r="E100" i="5" s="1"/>
  <c r="C107" i="5" s="1"/>
  <c r="G117" i="5" l="1"/>
  <c r="J117" i="5" s="1"/>
  <c r="F106" i="5"/>
  <c r="F107" i="5"/>
  <c r="F118" i="5"/>
  <c r="F99" i="5"/>
  <c r="F100" i="5" s="1"/>
  <c r="L117" i="5" l="1"/>
  <c r="K117" i="5"/>
  <c r="E107" i="5"/>
  <c r="I118" i="5" s="1"/>
  <c r="E106" i="5"/>
  <c r="K118" i="5" l="1"/>
  <c r="L118" i="5"/>
  <c r="H118" i="5"/>
  <c r="H117" i="5"/>
  <c r="F89" i="14" l="1"/>
  <c r="E90" i="14" l="1"/>
  <c r="D37" i="1" l="1"/>
  <c r="D72" i="14" l="1"/>
  <c r="E70" i="14"/>
  <c r="D29" i="1"/>
  <c r="F54" i="14"/>
  <c r="D57" i="14"/>
  <c r="D56" i="14"/>
  <c r="E17" i="1"/>
  <c r="D17" i="1"/>
  <c r="F26" i="14"/>
  <c r="F61" i="14" l="1"/>
  <c r="F70" i="14"/>
  <c r="F74" i="14"/>
  <c r="F80" i="14"/>
  <c r="F51" i="14"/>
  <c r="F45" i="14"/>
  <c r="F39" i="14"/>
  <c r="F34" i="14"/>
  <c r="F18" i="14"/>
  <c r="F13" i="14"/>
  <c r="F7" i="14"/>
  <c r="F6" i="14"/>
  <c r="F8" i="14"/>
  <c r="E43" i="1" l="1"/>
  <c r="E42" i="1"/>
  <c r="E85" i="14"/>
  <c r="D85" i="14" s="1"/>
  <c r="D91" i="14"/>
  <c r="D92" i="14"/>
  <c r="E81" i="14"/>
  <c r="D89" i="14"/>
  <c r="E10" i="14"/>
  <c r="E28" i="14"/>
  <c r="E26" i="14" s="1"/>
  <c r="E24" i="14"/>
  <c r="E41" i="14"/>
  <c r="E83" i="14"/>
  <c r="F44" i="14"/>
  <c r="E26" i="1" l="1"/>
  <c r="F79" i="14"/>
  <c r="E41" i="1" l="1"/>
  <c r="F78" i="14"/>
  <c r="D83" i="14"/>
  <c r="F90" i="14" l="1"/>
  <c r="D90" i="14" s="1"/>
  <c r="I103" i="14"/>
  <c r="E79" i="14"/>
  <c r="E78" i="14" s="1"/>
  <c r="F73" i="14"/>
  <c r="E38" i="1" s="1"/>
  <c r="E73" i="14"/>
  <c r="D38" i="1" s="1"/>
  <c r="F69" i="14"/>
  <c r="E36" i="1" s="1"/>
  <c r="E69" i="14"/>
  <c r="F65" i="14"/>
  <c r="E35" i="1" s="1"/>
  <c r="E65" i="14"/>
  <c r="F60" i="14"/>
  <c r="E60" i="14"/>
  <c r="F5" i="14"/>
  <c r="E10" i="1" s="1"/>
  <c r="F12" i="14"/>
  <c r="E11" i="1" s="1"/>
  <c r="F17" i="14"/>
  <c r="E12" i="1" s="1"/>
  <c r="F21" i="14"/>
  <c r="E16" i="1"/>
  <c r="F33" i="14"/>
  <c r="E22" i="1" s="1"/>
  <c r="F38" i="14"/>
  <c r="E54" i="14"/>
  <c r="D28" i="1" s="1"/>
  <c r="E28" i="1"/>
  <c r="F50" i="14"/>
  <c r="E50" i="14"/>
  <c r="E44" i="14"/>
  <c r="E38" i="14"/>
  <c r="E33" i="14"/>
  <c r="E21" i="14"/>
  <c r="E20" i="14" s="1"/>
  <c r="E17" i="14"/>
  <c r="D12" i="1" s="1"/>
  <c r="E12" i="14"/>
  <c r="D11" i="1" s="1"/>
  <c r="E5" i="14"/>
  <c r="D10" i="1" s="1"/>
  <c r="E43" i="14" l="1"/>
  <c r="E59" i="14"/>
  <c r="F59" i="14"/>
  <c r="F58" i="14" s="1"/>
  <c r="E27" i="1"/>
  <c r="F43" i="14"/>
  <c r="E15" i="1"/>
  <c r="F20" i="14"/>
  <c r="D16" i="1"/>
  <c r="E4" i="14"/>
  <c r="E3" i="14" s="1"/>
  <c r="E34" i="1"/>
  <c r="F32" i="14"/>
  <c r="E23" i="1"/>
  <c r="F4" i="14"/>
  <c r="E32" i="14"/>
  <c r="E49" i="1"/>
  <c r="D49" i="1"/>
  <c r="E48" i="1"/>
  <c r="D48" i="1"/>
  <c r="E47" i="1"/>
  <c r="D47" i="1"/>
  <c r="E46" i="1"/>
  <c r="D46" i="1"/>
  <c r="D42" i="1"/>
  <c r="D41" i="1"/>
  <c r="D36" i="1"/>
  <c r="D34" i="1"/>
  <c r="D27" i="1"/>
  <c r="D26" i="1"/>
  <c r="D22" i="1"/>
  <c r="D23" i="1"/>
  <c r="D6" i="14"/>
  <c r="D7" i="14"/>
  <c r="D8" i="14"/>
  <c r="D9" i="14"/>
  <c r="D10" i="14"/>
  <c r="D11" i="14"/>
  <c r="D13" i="14"/>
  <c r="D14" i="14"/>
  <c r="D15" i="14"/>
  <c r="D16" i="14"/>
  <c r="D18" i="14"/>
  <c r="D19" i="14"/>
  <c r="D22" i="14"/>
  <c r="D23" i="14"/>
  <c r="D24" i="14"/>
  <c r="D27" i="14"/>
  <c r="D28" i="14"/>
  <c r="D29" i="14"/>
  <c r="D30" i="14"/>
  <c r="D34" i="14"/>
  <c r="D35" i="14"/>
  <c r="D36" i="14"/>
  <c r="D37" i="14"/>
  <c r="D39" i="14"/>
  <c r="D40" i="14"/>
  <c r="D41" i="14"/>
  <c r="D42" i="14"/>
  <c r="D45" i="14"/>
  <c r="D46" i="14"/>
  <c r="D47" i="14"/>
  <c r="D48" i="14"/>
  <c r="D49" i="14"/>
  <c r="D51" i="14"/>
  <c r="D52" i="14"/>
  <c r="D53" i="14"/>
  <c r="D55" i="14"/>
  <c r="D54" i="14" s="1"/>
  <c r="D61" i="14"/>
  <c r="D62" i="14"/>
  <c r="D63" i="14"/>
  <c r="D64" i="14"/>
  <c r="D66" i="14"/>
  <c r="D67" i="14"/>
  <c r="D70" i="14"/>
  <c r="D71" i="14"/>
  <c r="D74" i="14"/>
  <c r="D75" i="14"/>
  <c r="D76" i="14"/>
  <c r="D80" i="14"/>
  <c r="D81" i="14"/>
  <c r="D82" i="14"/>
  <c r="H99" i="14"/>
  <c r="H87" i="14" s="1"/>
  <c r="E31" i="14" l="1"/>
  <c r="D26" i="14"/>
  <c r="D50" i="14"/>
  <c r="D21" i="14"/>
  <c r="D20" i="14" s="1"/>
  <c r="D38" i="14"/>
  <c r="F3" i="14"/>
  <c r="D3" i="14" s="1"/>
  <c r="D73" i="14"/>
  <c r="D60" i="14"/>
  <c r="D33" i="14"/>
  <c r="D17" i="14"/>
  <c r="D69" i="14"/>
  <c r="D65" i="14"/>
  <c r="D5" i="14"/>
  <c r="D12" i="14"/>
  <c r="D44" i="14"/>
  <c r="D43" i="14" s="1"/>
  <c r="D79" i="14"/>
  <c r="F31" i="14"/>
  <c r="D32" i="14" l="1"/>
  <c r="D31" i="14" s="1"/>
  <c r="D59" i="14"/>
  <c r="F87" i="14"/>
  <c r="F93" i="14" s="1"/>
  <c r="I102" i="14" s="1"/>
  <c r="D4" i="14"/>
  <c r="F94" i="14" l="1"/>
  <c r="F95" i="14" s="1"/>
  <c r="B15" i="11" l="1"/>
  <c r="B54" i="11" l="1"/>
  <c r="B55" i="11"/>
  <c r="B58" i="11"/>
  <c r="B57" i="11"/>
  <c r="B46" i="11" l="1"/>
  <c r="B40" i="11"/>
  <c r="B41" i="11"/>
  <c r="B47" i="11"/>
  <c r="B48" i="11"/>
  <c r="B45" i="11"/>
  <c r="B56" i="11"/>
  <c r="G5" i="11"/>
  <c r="B63" i="11"/>
  <c r="B60" i="11"/>
  <c r="B59" i="11"/>
  <c r="B51" i="11"/>
  <c r="B42" i="11"/>
  <c r="B39" i="11"/>
  <c r="B35" i="11"/>
  <c r="B34" i="11"/>
  <c r="B33" i="11"/>
  <c r="B32" i="11"/>
  <c r="B28" i="11"/>
  <c r="B25" i="11"/>
  <c r="B24" i="11"/>
  <c r="B21" i="11"/>
  <c r="B20" i="11"/>
  <c r="B19" i="11"/>
  <c r="B18" i="11"/>
  <c r="B17" i="11"/>
  <c r="B16" i="11"/>
  <c r="B14" i="11"/>
  <c r="B12" i="11"/>
  <c r="B11" i="11"/>
  <c r="B10" i="11"/>
  <c r="B9" i="11"/>
  <c r="B8" i="11"/>
  <c r="B7" i="11"/>
  <c r="B6" i="11"/>
  <c r="B3" i="11"/>
  <c r="D55" i="1" l="1"/>
  <c r="E55" i="1"/>
  <c r="F55" i="1"/>
  <c r="E62" i="1"/>
  <c r="F62" i="1"/>
  <c r="D62" i="1"/>
  <c r="I44" i="1"/>
  <c r="I39" i="1"/>
  <c r="I30" i="1"/>
  <c r="I24" i="1"/>
  <c r="I18" i="1"/>
  <c r="D71" i="1"/>
  <c r="H66" i="1"/>
  <c r="G47" i="1"/>
  <c r="G48" i="1"/>
  <c r="G49" i="1"/>
  <c r="G46" i="1"/>
  <c r="G38" i="1"/>
  <c r="G29" i="1"/>
  <c r="G17" i="1"/>
  <c r="G12" i="1"/>
  <c r="E50" i="1"/>
  <c r="F50" i="1"/>
  <c r="D50" i="1"/>
  <c r="F44" i="1"/>
  <c r="F39" i="1"/>
  <c r="F30" i="1"/>
  <c r="F24" i="1"/>
  <c r="F18" i="1"/>
  <c r="F13" i="1"/>
  <c r="F56" i="1" s="1"/>
  <c r="I56" i="1" l="1"/>
  <c r="I58" i="1" s="1"/>
  <c r="F57" i="1"/>
  <c r="G50" i="1"/>
  <c r="H50" i="1"/>
  <c r="K56" i="1" l="1"/>
  <c r="K58" i="1" s="1"/>
  <c r="F58" i="1"/>
  <c r="F64" i="1" s="1"/>
  <c r="G68" i="1" l="1"/>
  <c r="F63" i="1"/>
  <c r="F65" i="1"/>
  <c r="F66" i="1" l="1"/>
  <c r="G42" i="1" l="1"/>
  <c r="E44" i="1" l="1"/>
  <c r="G11" i="1" l="1"/>
  <c r="G28" i="1"/>
  <c r="G37" i="1" l="1"/>
  <c r="G36" i="1"/>
  <c r="G26" i="1"/>
  <c r="E30" i="1"/>
  <c r="D30" i="1"/>
  <c r="G27" i="1"/>
  <c r="G22" i="1"/>
  <c r="G34" i="1"/>
  <c r="G16" i="1"/>
  <c r="E18" i="1"/>
  <c r="D24" i="1"/>
  <c r="H30" i="1" l="1"/>
  <c r="E24" i="1"/>
  <c r="E39" i="1"/>
  <c r="G30" i="1"/>
  <c r="G41" i="1"/>
  <c r="E13" i="1"/>
  <c r="G10" i="1"/>
  <c r="G23" i="1"/>
  <c r="H24" i="1" s="1"/>
  <c r="G9" i="1"/>
  <c r="D13" i="1"/>
  <c r="E56" i="1" l="1"/>
  <c r="H13" i="1"/>
  <c r="C59" i="14"/>
  <c r="C27" i="14"/>
  <c r="C32" i="14"/>
  <c r="G13" i="1"/>
  <c r="G24" i="1"/>
  <c r="E57" i="1"/>
  <c r="E58" i="1" s="1"/>
  <c r="J59" i="1" s="1"/>
  <c r="C26" i="14" l="1"/>
  <c r="C6" i="14"/>
  <c r="C10" i="14"/>
  <c r="C15" i="14"/>
  <c r="C21" i="14"/>
  <c r="C28" i="14"/>
  <c r="C7" i="14"/>
  <c r="C12" i="14"/>
  <c r="C17" i="14"/>
  <c r="C22" i="14"/>
  <c r="C4" i="14"/>
  <c r="C44" i="14"/>
  <c r="C38" i="14"/>
  <c r="C54" i="14"/>
  <c r="C47" i="14"/>
  <c r="C40" i="14"/>
  <c r="C34" i="14"/>
  <c r="C56" i="14"/>
  <c r="C46" i="14"/>
  <c r="C39" i="14"/>
  <c r="C78" i="14"/>
  <c r="C73" i="14"/>
  <c r="C83" i="14"/>
  <c r="C63" i="14"/>
  <c r="C70" i="14"/>
  <c r="C65" i="14"/>
  <c r="C66" i="14"/>
  <c r="C71" i="14"/>
  <c r="C62" i="14"/>
  <c r="C75" i="14"/>
  <c r="C20" i="14"/>
  <c r="C29" i="14"/>
  <c r="C8" i="14"/>
  <c r="C13" i="14"/>
  <c r="C18" i="14"/>
  <c r="C23" i="14"/>
  <c r="C5" i="14"/>
  <c r="C9" i="14"/>
  <c r="C14" i="14"/>
  <c r="C19" i="14"/>
  <c r="C24" i="14"/>
  <c r="C43" i="14"/>
  <c r="C33" i="14"/>
  <c r="C48" i="14"/>
  <c r="C55" i="14"/>
  <c r="C51" i="14"/>
  <c r="C45" i="14"/>
  <c r="C36" i="14"/>
  <c r="C50" i="14"/>
  <c r="C52" i="14"/>
  <c r="C41" i="14"/>
  <c r="C35" i="14"/>
  <c r="C60" i="14"/>
  <c r="C79" i="14"/>
  <c r="C85" i="14"/>
  <c r="C81" i="14"/>
  <c r="C74" i="14"/>
  <c r="C69" i="14"/>
  <c r="C80" i="14"/>
  <c r="C67" i="14"/>
  <c r="C61" i="14"/>
  <c r="C76" i="14"/>
  <c r="E64" i="1"/>
  <c r="E65" i="1"/>
  <c r="E63" i="1"/>
  <c r="E66" i="1" l="1"/>
  <c r="D15" i="1" l="1"/>
  <c r="D18" i="1" s="1"/>
  <c r="G15" i="1" l="1"/>
  <c r="H18" i="1" s="1"/>
  <c r="G18" i="1" l="1"/>
  <c r="D35" i="1" l="1"/>
  <c r="G35" i="1" s="1"/>
  <c r="G39" i="1" l="1"/>
  <c r="H39" i="1"/>
  <c r="D39" i="1"/>
  <c r="E58" i="14"/>
  <c r="D43" i="1"/>
  <c r="G43" i="1" l="1"/>
  <c r="H44" i="1" s="1"/>
  <c r="D68" i="1" s="1"/>
  <c r="D44" i="1"/>
  <c r="D56" i="1" s="1"/>
  <c r="E87" i="14"/>
  <c r="E93" i="14" s="1"/>
  <c r="E94" i="14" l="1"/>
  <c r="E95" i="14" s="1"/>
  <c r="G44" i="1"/>
  <c r="D57" i="1" l="1"/>
  <c r="D58" i="1" s="1"/>
  <c r="I59" i="1" s="1"/>
  <c r="G56" i="1"/>
  <c r="G57" i="1" l="1"/>
  <c r="G58" i="1" s="1"/>
  <c r="K59" i="1" s="1"/>
  <c r="D65" i="1"/>
  <c r="D63" i="1"/>
  <c r="D64" i="1"/>
  <c r="D72" i="1" l="1"/>
  <c r="D69" i="1"/>
  <c r="G64" i="1"/>
  <c r="G65" i="1"/>
  <c r="D66" i="1"/>
  <c r="G63" i="1"/>
  <c r="D100" i="14" l="1"/>
  <c r="G66" i="1"/>
  <c r="D78" i="14"/>
  <c r="D58" i="14" s="1"/>
  <c r="G69" i="1" l="1"/>
  <c r="D87" i="14"/>
  <c r="E118" i="5" l="1"/>
  <c r="F112" i="5"/>
  <c r="J87" i="14"/>
  <c r="D93" i="14"/>
  <c r="E112" i="5" l="1"/>
  <c r="I99" i="14"/>
  <c r="D94" i="14"/>
  <c r="D95" i="14" s="1"/>
  <c r="J31" i="14"/>
  <c r="J3" i="14"/>
  <c r="J58" i="14"/>
  <c r="D97" i="14" l="1"/>
  <c r="D98" i="14" s="1"/>
  <c r="E117" i="5"/>
  <c r="E111" i="5"/>
</calcChain>
</file>

<file path=xl/sharedStrings.xml><?xml version="1.0" encoding="utf-8"?>
<sst xmlns="http://schemas.openxmlformats.org/spreadsheetml/2006/main" count="1349" uniqueCount="821">
  <si>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</si>
  <si>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</si>
  <si>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</si>
  <si>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</si>
  <si>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</si>
  <si>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</si>
  <si>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</si>
  <si>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</si>
  <si>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</si>
  <si>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</si>
  <si>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</si>
  <si>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</si>
  <si>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</si>
  <si>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</si>
  <si>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</si>
  <si>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</si>
  <si>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</si>
  <si>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</si>
  <si>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</si>
  <si>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</si>
  <si>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</si>
  <si>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</si>
  <si>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</si>
  <si>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</si>
  <si>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</si>
  <si>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</si>
  <si>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</si>
  <si>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</si>
  <si>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</si>
  <si>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</si>
  <si>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</si>
  <si>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</si>
  <si>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</si>
  <si>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</si>
  <si>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</si>
  <si>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</si>
  <si>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</si>
  <si>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</si>
  <si>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</si>
  <si>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</si>
  <si>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</si>
  <si>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</si>
  <si>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</si>
  <si>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</si>
  <si>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</si>
  <si>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</si>
  <si>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</si>
  <si>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</si>
  <si>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</si>
  <si>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</si>
  <si>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</si>
  <si>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</si>
  <si>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</si>
  <si>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</si>
  <si>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</si>
  <si>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</si>
  <si>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</si>
  <si>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</si>
  <si>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</si>
  <si>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</si>
  <si>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</si>
  <si>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</si>
  <si>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</si>
  <si>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</si>
  <si>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</si>
  <si>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</si>
  <si>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</si>
  <si>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</si>
  <si>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</si>
  <si>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</si>
  <si>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</si>
  <si>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</si>
  <si>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</si>
  <si>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</si>
  <si>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</si>
  <si>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</si>
  <si>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</si>
  <si>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</si>
  <si>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</si>
  <si>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</si>
  <si>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</si>
  <si>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</si>
  <si>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</si>
  <si>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</si>
  <si>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</si>
  <si>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</si>
  <si>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</si>
  <si>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</si>
  <si>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</si>
  <si>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</si>
  <si>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</si>
  <si>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</si>
  <si>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</si>
  <si>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</si>
  <si>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</si>
  <si>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</si>
  <si>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</si>
  <si>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</si>
  <si>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</si>
  <si>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</si>
  <si>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</si>
  <si>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</si>
  <si>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</si>
  <si>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</si>
  <si>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</si>
  <si>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</si>
  <si>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</si>
  <si>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</si>
  <si>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</si>
  <si>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</si>
  <si>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</si>
  <si>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</si>
  <si>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</si>
  <si>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</si>
  <si>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</si>
  <si>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</si>
  <si>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</si>
  <si>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</si>
  <si>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</si>
  <si>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</si>
  <si>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</si>
  <si>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</si>
  <si>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</si>
  <si>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</si>
  <si>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</si>
  <si>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</si>
  <si>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</si>
  <si>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</si>
  <si>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</si>
  <si>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</si>
  <si>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</si>
  <si>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</si>
  <si>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</si>
  <si>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</si>
  <si>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</si>
  <si>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</si>
  <si>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</si>
  <si>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</si>
  <si>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</si>
  <si>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</si>
  <si>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</si>
  <si>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</si>
  <si>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</si>
  <si>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</si>
  <si>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</si>
  <si>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</si>
  <si>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</si>
  <si>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</si>
  <si>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</si>
  <si>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</si>
  <si>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</si>
  <si>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</si>
  <si>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</si>
  <si>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</si>
  <si>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</si>
  <si>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</si>
  <si>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</si>
  <si>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</si>
  <si>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</si>
  <si>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</si>
  <si>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</si>
  <si>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</si>
  <si>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</si>
  <si>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</si>
  <si>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</si>
  <si>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</si>
  <si>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</si>
  <si>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</si>
  <si>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</si>
  <si>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</si>
  <si>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</si>
  <si>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</si>
  <si>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</si>
  <si>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</si>
  <si>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</si>
  <si>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</si>
  <si>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</si>
  <si>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</si>
  <si>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</si>
  <si>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</si>
  <si>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</si>
  <si>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</si>
  <si>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</si>
  <si>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</si>
  <si>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</si>
  <si>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</si>
  <si>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</si>
  <si>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</si>
  <si>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</si>
  <si>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</si>
  <si>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</si>
  <si>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</si>
  <si>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</si>
  <si>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</si>
  <si>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</si>
  <si>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</si>
  <si>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</si>
  <si>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</si>
  <si>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</si>
  <si>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</si>
  <si>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</si>
  <si>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</si>
  <si>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</si>
  <si>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</si>
  <si>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</si>
  <si>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</si>
  <si>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</si>
  <si>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</si>
  <si>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</si>
  <si>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</si>
  <si>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</si>
  <si>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</si>
  <si>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</si>
  <si>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</si>
  <si>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</si>
  <si>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</si>
  <si>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</si>
  <si>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</si>
  <si>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</si>
  <si>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</si>
  <si>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</si>
  <si>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</si>
  <si>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</si>
  <si>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</si>
  <si>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</si>
  <si>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</si>
  <si>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</si>
  <si>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</si>
  <si>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</si>
  <si>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</si>
  <si>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</si>
  <si>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</si>
  <si>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</si>
  <si>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</si>
  <si>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</si>
  <si>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</si>
  <si>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</si>
  <si>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</si>
  <si>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</si>
  <si>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</si>
  <si>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</si>
  <si>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</si>
  <si>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</si>
  <si>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</si>
  <si>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</si>
  <si>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</si>
  <si>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</si>
  <si>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</si>
  <si>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</si>
  <si>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</si>
  <si>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</si>
  <si>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</si>
  <si>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</si>
  <si>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</si>
  <si>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</si>
  <si>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</si>
  <si>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</si>
  <si>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</si>
  <si>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</si>
  <si>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</si>
  <si>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</si>
  <si>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</si>
  <si>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</si>
  <si>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</si>
  <si>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</si>
  <si>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</si>
  <si>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</si>
  <si>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</si>
  <si>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</si>
  <si>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</si>
  <si>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</si>
  <si>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</si>
  <si>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</si>
  <si>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</si>
  <si>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</si>
  <si>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</si>
  <si>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</si>
  <si>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</si>
  <si>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</si>
  <si>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</si>
  <si>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</si>
  <si>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</si>
  <si>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</si>
  <si>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</si>
  <si>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</si>
  <si>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</si>
  <si>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</si>
  <si>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</si>
  <si>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</si>
  <si>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</si>
  <si>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</si>
  <si>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</si>
  <si>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</si>
  <si>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</si>
  <si>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</si>
  <si>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</si>
  <si>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</si>
  <si>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</si>
  <si>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</si>
  <si>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</si>
  <si>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</si>
  <si>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</si>
  <si>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</si>
  <si>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</si>
  <si>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</si>
  <si>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</si>
  <si>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</si>
  <si>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</si>
  <si>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</si>
  <si>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</si>
  <si>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</si>
  <si>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</si>
  <si>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</si>
  <si>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</si>
  <si>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</si>
  <si>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</si>
  <si>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</si>
  <si>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</si>
  <si>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</si>
  <si>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</si>
  <si>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</si>
  <si>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</si>
  <si>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</si>
  <si>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</si>
  <si>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</si>
  <si>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</si>
  <si>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</si>
  <si>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</si>
  <si>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</si>
  <si>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</si>
  <si>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</si>
  <si>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</si>
  <si>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</si>
  <si>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</si>
  <si>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</si>
  <si>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</si>
  <si>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</si>
  <si>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</si>
  <si>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</si>
  <si>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</si>
  <si>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</si>
  <si>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</si>
  <si>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</si>
  <si>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</si>
  <si>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</si>
  <si>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</si>
  <si>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</si>
  <si>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</si>
  <si>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</si>
  <si>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</si>
  <si>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</si>
  <si>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</si>
  <si>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</si>
  <si>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1.2.3</t>
  </si>
  <si>
    <t xml:space="preserve">RESULTAT 2: </t>
  </si>
  <si>
    <t>Produit 2.1</t>
  </si>
  <si>
    <t>Activite 2.1.1</t>
  </si>
  <si>
    <t>Activite 2.1.2</t>
  </si>
  <si>
    <t>Produit 2.2</t>
  </si>
  <si>
    <t>Activite 2.2.1</t>
  </si>
  <si>
    <t>Activite' 2.2.2</t>
  </si>
  <si>
    <t>Activite 2.2.3</t>
  </si>
  <si>
    <t>Activite 2.2.4</t>
  </si>
  <si>
    <t xml:space="preserve">RESULTAT 3: </t>
  </si>
  <si>
    <t>Produit 3.1</t>
  </si>
  <si>
    <t>Activite 3.1.1</t>
  </si>
  <si>
    <t>Activite 3.1.2</t>
  </si>
  <si>
    <t>Activite 3.1.3</t>
  </si>
  <si>
    <t>Activite 3.1.4</t>
  </si>
  <si>
    <t>Activite 3.1.5</t>
  </si>
  <si>
    <t>Produit 3.2:</t>
  </si>
  <si>
    <t>Activite 3.2.1</t>
  </si>
  <si>
    <t>Activite 3.2.2</t>
  </si>
  <si>
    <t>Activite 3.2.3</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</si>
  <si>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</si>
  <si>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</si>
  <si>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</si>
  <si>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</si>
  <si>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</si>
  <si>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</si>
  <si>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</si>
  <si>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</si>
  <si>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</si>
  <si>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</si>
  <si>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</si>
  <si>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</si>
  <si>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</si>
  <si>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</si>
  <si>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</si>
  <si>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</si>
  <si>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</si>
  <si>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</si>
  <si>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</si>
  <si>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</si>
  <si>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</si>
  <si>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</si>
  <si>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</si>
  <si>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A111.Sensibiliser/éduquer les jeunes sur différentes thématiques/messages de prévention de conflits</t>
  </si>
  <si>
    <t>2. Analyses/consultations préalables avec les parties prenantes et les groupes de jeunes dans les régions concernées par  élaboration d’ébauche de plan de communication ;</t>
  </si>
  <si>
    <t>Enquête CAP</t>
  </si>
  <si>
    <t>3. Atelier national d’information et d’élaboration/validation de plan de communication ;</t>
  </si>
  <si>
    <t>Restauration</t>
  </si>
  <si>
    <t>Location salle</t>
  </si>
  <si>
    <t xml:space="preserve">Fournitures des Participants et de l'Atelier (rame de papier, Marker, Flip,...) </t>
  </si>
  <si>
    <t xml:space="preserve">Frais de déplacement des Participants  venant des régions </t>
  </si>
  <si>
    <t>Perdiem et Hébergement des Participants des régions</t>
  </si>
  <si>
    <t>Application formation</t>
  </si>
  <si>
    <t xml:space="preserve">5. Planification et mise en œuvre d’activités d’éducation </t>
  </si>
  <si>
    <t>A112. Conduire des séances de formations générales pour les jeunes sur la consolidation de la paix, le SAP-PC  (et le CCAP)</t>
  </si>
  <si>
    <t>1. Capitalisation des acquis nationaux/internationaux et élaboration d’outils/guide de formation d’un SAP-PC à travers un consultant qui va faire l’inventaire des outils existants et l’élaboration de draft d’outils/guide</t>
  </si>
  <si>
    <t>2. Atelier de restitution et de validation des outils/guide de formation générale d’un SAP-PC</t>
  </si>
  <si>
    <t>3. Conduite de FdF pour les RSOD/TAD qui vont assurer la mise en œuvre du SAP-PC au niveau régions et districts et former/superviser les RSOC/TAK</t>
  </si>
  <si>
    <t>A113. Conduire des séances d’informations et de mobilisation des acteurs effectués par les jeunes au niveau district et au niveau régional</t>
  </si>
  <si>
    <t>2. Restitution/émission media conjointe par les OSC/jeunes et les acteurs/décideurs sur la collaboration pour le déploiement du SAP-PC</t>
  </si>
  <si>
    <t>A121.Organiser/répartir et déployer les jeunes observateurs avec les outils</t>
  </si>
  <si>
    <t>2.    AMI  lancé auprès des participants/jeunes sensibilisés et ayant bénéficié des formations générales, sélection/recrutement et répartition des jeunes observateurs SAP-PC</t>
  </si>
  <si>
    <t xml:space="preserve">3.    Conception, préparation et élaboration des outils/guide de formation sur les outils et la méthodologie de mise en œuvre du SAP-PC </t>
  </si>
  <si>
    <t>4.    Mise en œuvre de la formation des jeunes observateurs sélectionnés/recrutés</t>
  </si>
  <si>
    <t>Formation des observateurs</t>
  </si>
  <si>
    <t>Indemnités observateurs</t>
  </si>
  <si>
    <t xml:space="preserve">A122.Conduire et rapporter le SAP-PC (Suivi-Observation régulier/trimestriel, Alertes selon événements par les Observateurs, Signalements/numéros verts par les citoyens) et diffuser les résultats. </t>
  </si>
  <si>
    <t>Fonctionnement des Numeros Verts</t>
  </si>
  <si>
    <t>Téléconseillers de récoupement et d'analyse</t>
  </si>
  <si>
    <t>Produit 2.1 Thématiques d’actions publiques définies</t>
  </si>
  <si>
    <t xml:space="preserve"> </t>
  </si>
  <si>
    <t>A211. Organiser des ateliers de concertations régionales pour prioriser et valider les actions publiques.</t>
  </si>
  <si>
    <t>1.      Approfondissement &amp; analyse des contextes à partir de revue documentaire complétée par des entrevues et réunions techniques avec les parties prenantes</t>
  </si>
  <si>
    <t>2.      Mobilisation des acteurs publics et communautaires cibles par les équipes régionales du projet et les Ministères (MJS et MPPSPF).</t>
  </si>
  <si>
    <t>3.      Préparation et conduite des ateliers de concertation dans les régions.</t>
  </si>
  <si>
    <t>A212. Organiser des séances d’informations/formations et mobilisation des jeunes pour les CCAP</t>
  </si>
  <si>
    <t xml:space="preserve">1.      Etablissement des matériels /outils d’informations pour les jeunes adaptés aux thématiques/contextes régionaux </t>
  </si>
  <si>
    <t>2.      Conduite de séances informations (Ateliers et/ou séances en ligne via les réseaux sociaux) pour les jeunes.</t>
  </si>
  <si>
    <t xml:space="preserve">3.      Sensibilisation/Mobilisation communautaire et via les media pour l’engagement des OSC, citoyens/jeunes dans la mise en œuvre du CCAP  </t>
  </si>
  <si>
    <t xml:space="preserve">Produit 2.2 Contrôles citoyens des actions publiques mis en œuvre </t>
  </si>
  <si>
    <t>A221.Capitaliser les acquis nationaux/internationaux et élaborer les outils/guide de formation de CCAP.</t>
  </si>
  <si>
    <t>1.      Inventaire des outils existants au niveau national et international</t>
  </si>
  <si>
    <t xml:space="preserve">2.      Atelier de capitalisation des acquis nationaux/internationaux notamment l’ECB[1] et le BQP[2] déjà appliqués et éprouvés par MSIS-Tatao. </t>
  </si>
  <si>
    <t>3.      Elaboration des outils/guide Tafita[3] de formation d’un CCAP</t>
  </si>
  <si>
    <t>4.      Atelier de restitution et de validation des outils/guide de formation d’un CCAP</t>
  </si>
  <si>
    <t>A222.Conduire des séances de formation pour les jeunes Safidy</t>
  </si>
  <si>
    <t xml:space="preserve">A223.Organiser et accompagner les jeunes dans les CCAP et diffuser les résultats </t>
  </si>
  <si>
    <t>2.    Suivi-observation par les RSOAP-Tafita des réalités dans la mise en œuvre des prestations au niveau des services publics dans les districts/communes par rapport aux risques de conflit</t>
  </si>
  <si>
    <t xml:space="preserve">Produit 3.1 Campagnes de plaidoyers et recours faits par les jeunes considérés par les autorités/décideurs </t>
  </si>
  <si>
    <t>A311. Elaborer des guides/outils et conduire des formations en plaidoyers et recours pour les jeunes</t>
  </si>
  <si>
    <t xml:space="preserve">1.    Conception et élaboration des guides / outils, conduite d’un atelier de validation de guide de plaidoyer et de recours </t>
  </si>
  <si>
    <t>2.    Elaboration des outils, plans et curricula de formation à partir du guide élaboré</t>
  </si>
  <si>
    <t>3.    Conduite des formations en plaidoyer et recours incluant l’élaboration des plans de plaidoyer et évaluation des formations.</t>
  </si>
  <si>
    <t>A312. Accompagner les jeunes dans la mise en œuvre de leur campagne de plaidoyers et organiser des dialogues avec les autorités/décideurs</t>
  </si>
  <si>
    <t>1.    Mise en œuvre de plans de plaidoyer par les jeunes notamment à travers la planification et l’organisation de dialogues avec les autorités/décideurs</t>
  </si>
  <si>
    <t>2.    Accompagnement, encadrement, coaching et suivi des campagnes de plaidoyer des jeunes</t>
  </si>
  <si>
    <t>A313. Accompagner les jeunes à  déposer des recours auprès des Institutions</t>
  </si>
  <si>
    <t>Juristes partenaires</t>
  </si>
  <si>
    <t>2.    Suivi des recours faits par les jeunes auprès des autorités/décideurs compétents.</t>
  </si>
  <si>
    <t xml:space="preserve">1.    Renforcer le leadership, le réseautage &amp; la visibilité des jeunes LA et défenseurs de la paix </t>
  </si>
  <si>
    <t xml:space="preserve">3.    Mettre en œuvre des actions d’accompagnement et de prise en charge socio-économique des JLA/DDP (compensation de pertes de revenus, accompagnement psycho-sociale, prise en charge sanitaire)  </t>
  </si>
  <si>
    <t>Produit 3.2Actions communautaires de prévention et de réduction des risques de conflits mises en œuvre</t>
  </si>
  <si>
    <t>A321.Conduire des formations pour les jeunes dans l’élaboration de projets  de prévention des conflits adressant les recommandations des SAP-PC/ CCAP</t>
  </si>
  <si>
    <t>1.      Elaboration des outils, plans et curricula de formation en leadership, développement et gestion de projet</t>
  </si>
  <si>
    <t>2.      Conduite des formations en leadership, développement et gestion de projet et évaluation des formations.</t>
  </si>
  <si>
    <t>A322 Fournir des subventions, superviser/suivre les projets de prévention/résolution de conflits réalisés par les jeunes (Jeunes dans les structures/mécanismes de concertations, événements sportifs/Culturels suscitant les échanges et l’inclusion, réinsertion des jeunes victimes/à risques)</t>
  </si>
  <si>
    <t xml:space="preserve">A323. Organiser des visites-échanges entre les jeunes. </t>
  </si>
  <si>
    <t>Cours dollar</t>
  </si>
  <si>
    <t>Communications-médias</t>
  </si>
  <si>
    <t>Annonce radio</t>
  </si>
  <si>
    <t>Boost réseaux sociaux</t>
  </si>
  <si>
    <t>Diffusion spot radio</t>
  </si>
  <si>
    <t>Diffusion spot tv</t>
  </si>
  <si>
    <t>Coproduction émissions/reportages radio</t>
  </si>
  <si>
    <t>Coproduction émissions/reportages tv regions</t>
  </si>
  <si>
    <t>Coproduction émissions/reportages tv national</t>
  </si>
  <si>
    <t>Infographiste (jr/H)</t>
  </si>
  <si>
    <t>Conception spots audiovisuels</t>
  </si>
  <si>
    <t>Photos ou dessins (unité)</t>
  </si>
  <si>
    <t>Goodies (t-dshirt, casquettes, etc.)</t>
  </si>
  <si>
    <t>Documents couleurs (page)</t>
  </si>
  <si>
    <t>Documents noir et blanc (page)</t>
  </si>
  <si>
    <t>Affiches (grand nombre)</t>
  </si>
  <si>
    <t>Dépliants (grand nombre)</t>
  </si>
  <si>
    <t>Formations</t>
  </si>
  <si>
    <t>Indemnités des formateurs des observateurs</t>
  </si>
  <si>
    <t>Etudes - enquêtes</t>
  </si>
  <si>
    <t>Atelier national</t>
  </si>
  <si>
    <t>Atelier régional</t>
  </si>
  <si>
    <t>Frais de connexion apprenants</t>
  </si>
  <si>
    <t>Equipe observation</t>
  </si>
  <si>
    <t>Indemnités RSOD/TAD (base 5 jours/mois)</t>
  </si>
  <si>
    <t>IndemnitésRSOC (base 5 jours/mois)</t>
  </si>
  <si>
    <t>Indemnités call center</t>
  </si>
  <si>
    <t>Envois sms obs-&gt;equipe</t>
  </si>
  <si>
    <t>NTIC / système d'information</t>
  </si>
  <si>
    <t>Plaidoyer et recours</t>
  </si>
  <si>
    <t>Délais de route</t>
  </si>
  <si>
    <t>Atelier district</t>
  </si>
  <si>
    <t>4. Conduite de séance d’information et de sensibilisation des TAD/RSOD (présentiel et en ligne)</t>
  </si>
  <si>
    <t>1. Ateliers régionaux d’information et de mobilisation des acteurs régionaux</t>
  </si>
  <si>
    <r>
      <t xml:space="preserve">1. </t>
    </r>
    <r>
      <rPr>
        <sz val="10"/>
        <color rgb="FF000000"/>
        <rFont val="Arial"/>
        <family val="2"/>
      </rPr>
      <t>Identification de groupes/organisations de jeunes engagés via Safidy et autres réseaux initiatives pour sélection RSOD et RSOC</t>
    </r>
  </si>
  <si>
    <t>Resultat 1</t>
  </si>
  <si>
    <t>Resultat 2</t>
  </si>
  <si>
    <t>3.    Mise en œuvre de la formation des jeunes observateurs sélectionnés/recrutés</t>
  </si>
  <si>
    <t>Resultat 3</t>
  </si>
  <si>
    <t xml:space="preserve">1.    Appui des jeunes dans la rédaction et dépôt de recours selon le guide et avec l’appui de juristes partenaires (Avocats et/ou Magistrats bénévoles) </t>
  </si>
  <si>
    <t>2.    Renforcer l’accompagnement juridique des Jeunes LA et DDP à travers l’appui des juristes partenaires et autres Institutions DH</t>
  </si>
  <si>
    <t>Total activités</t>
  </si>
  <si>
    <t>PNUD
(budget en USD)</t>
  </si>
  <si>
    <t>MSIS-tatao
(budget en USD)</t>
  </si>
  <si>
    <t>Résultats, Produits et Actvités</t>
  </si>
  <si>
    <t>%</t>
  </si>
  <si>
    <t>Montant</t>
  </si>
  <si>
    <t>PNUD</t>
  </si>
  <si>
    <t>MSIS</t>
  </si>
  <si>
    <r>
      <t>Produit 1.2</t>
    </r>
    <r>
      <rPr>
        <sz val="12"/>
        <color rgb="FF000000"/>
        <rFont val="Times New Roman"/>
        <family val="1"/>
      </rPr>
      <t xml:space="preserve">. </t>
    </r>
    <r>
      <rPr>
        <b/>
        <sz val="12"/>
        <color rgb="FF000000"/>
        <rFont val="Times New Roman"/>
        <family val="1"/>
      </rPr>
      <t>Le SAP-PC sont  opérationnels au niveau de l’Observatoire</t>
    </r>
  </si>
  <si>
    <t xml:space="preserve">1.    Mise en place de centre d’appel et opérationnalisation à travers l’engagement des jeunes Agents/Superviseurs d’appel. Ce sont les jeunes RSOD et RSOC et quelques acteurs communautaires échantillonnés et représentatifs qui sont appelés pour fournir leurs constats via des fiches/questionnaires pré-établis. </t>
  </si>
  <si>
    <t>2.    Suivi-observation par les RSOD et RSOC des réalités sur terrain par rapport aux facteurs/risques de conflit</t>
  </si>
  <si>
    <t>3.    Production et dissémination des rapports SAP-PC (Atelier/Réunions techniques de plaidoyer et concertation/mobilisation avec les autorités régionales/locales ; Atelier semestriel de dissémination).</t>
  </si>
  <si>
    <t xml:space="preserve">2.    Elaboration des critères de sélection des jeunes observateurs CCAP et AMI  lancé auprès des participants/jeunes sensibilisés et ayant bénéficié des formations générales (A112), sélection/recrutement et répartition des jeunes observateurs CCAP </t>
  </si>
  <si>
    <t>TOTAL GENERAL</t>
  </si>
  <si>
    <t>COUT INDIRECT</t>
  </si>
  <si>
    <t>TOTAL COUT DIRECT</t>
  </si>
  <si>
    <t xml:space="preserve">3.    Production et dissémination des rapports CCAP (Atelier/Réunions techniques de plaidoyer auprès des autorités régionales/locales ; Atelier semestriel de dissémination) </t>
  </si>
  <si>
    <t>Sensibiliser/éduquer les jeunes sur différentes thématiques/messages de prévention de conflits</t>
  </si>
  <si>
    <t>Conduire des séances de formations générales pour les jeunes sur la consolidation de la paix, le SAP-PC  (et le CCAP)</t>
  </si>
  <si>
    <t>Conduire des séances d’informations et de mobilisation des acteurs effectués par les jeunes au niveau district et au niveau régional</t>
  </si>
  <si>
    <t>Produit 1.1 Jeunes/OSC du Réseau SAFIDY et les acteurs institutionnels formés et outillés sur le SAP-PC</t>
  </si>
  <si>
    <t>Organiser/répartir et déployer les jeunes observateurs avec les outils</t>
  </si>
  <si>
    <t xml:space="preserve">Conduire et rapporter le SAP-PC (Suivi-Observation régulier/trimestriel, Alertes selon événements par les Observateurs, Signalements/numéros verts par les citoyens) et diffuser les résultats. </t>
  </si>
  <si>
    <t>Organiser des séances d’informations/formations et mobilisation des jeunes pour les CCAP</t>
  </si>
  <si>
    <t>Capitaliser les acquis nationaux/internationaux et élaborer les outils/guide de formation de CCAP.</t>
  </si>
  <si>
    <t>Conduire des séances de formation pour les jeunes Safidy</t>
  </si>
  <si>
    <t>Organiser et accompagner les jeunes dans les CCAP et diffuser les résultats</t>
  </si>
  <si>
    <t>Elaborer des guides/outils et conduire des formations en plaidoyers et recours pour les jeunes</t>
  </si>
  <si>
    <t>Accompagner les jeunes dans la mise en œuvre de leur campagne de plaidoyers et organiser des dialogues avec les autorités/décideurs</t>
  </si>
  <si>
    <t>Accompagner les jeunes à  déposer des recours auprès des Institutions</t>
  </si>
  <si>
    <t>Opérationnaliser le mécanisme de protection des jeunes LA et défenseurs de la paix</t>
  </si>
  <si>
    <t>Organiser des visites-échanges entre les jeunes</t>
  </si>
  <si>
    <t>Conduire des formations pour les jeunes et les autres acteurs communataires dans l’élaboration de projets  de prévention des conflits adressant les recommandations des SAP-PC/ CCAP</t>
  </si>
  <si>
    <t>Organiser des ateliers de concertations régionales pour prioriser et valider les actions publiques.</t>
  </si>
  <si>
    <t>Jeunes/OSC du Réseau SAFIDY et les acteurs institutionnels formés et outillés sur le SAP-PC</t>
  </si>
  <si>
    <t>Le SAP-PC sont  opérationnels au niveau de l’Observatoire</t>
  </si>
  <si>
    <t xml:space="preserve">Contrôles citoyens des actions publiques mis en œuvre </t>
  </si>
  <si>
    <t xml:space="preserve">Campagnes de plaidoyers et recours faits par les jeunes considérés par les autorités/décideurs </t>
  </si>
  <si>
    <t>Actions communautaires de prévention et de réduction des risques de conflits mises en œuvre</t>
  </si>
  <si>
    <t>Fournir des subventions, superviser/suivre les projets de prévention/résolution de conflits réalisés par les jeunes etn collaboration avec les autres acteurs communautaires (Jeunes dans les structures/mécanismes de concertations, événements sportifs/Culturels suscitant les échanges et l’inclusion, etc.)</t>
  </si>
  <si>
    <t>Les jeunes dans l’Observatoire Safidy mettent en place un système d’alerte précoce et de prévention des risques de conflits (SAP-PC)</t>
  </si>
  <si>
    <t xml:space="preserve">Les jeunes sont engagés dans les contrôles citoyens des actions publiques (CCAP) en faveur de la paix. </t>
  </si>
  <si>
    <t xml:space="preserve"> Thématiques d’actions publiques à contrôler et à renforcer définies</t>
  </si>
  <si>
    <t>Les plaidoyers, recours et actions de réponses aux risques de conflits portés par les jeunes ou structurés autour des jeunes sont renforcés</t>
  </si>
  <si>
    <t>Mise en place et opérationnalisation de Cellules de veilles pour prendre les décisions/mesures de réponses par rapport au SAP-PC</t>
  </si>
  <si>
    <t>A123.Mise en place et opérationnalisation de Cellules de veilles pour prendre les décisions/mesures de réponses par rapport au SAP-PC</t>
  </si>
  <si>
    <t>Elaborer, suivre et appuyer la mise en œuvre par les jeunes et les Institutions partenaires des plans de renforcement des capacités suite aux résultats de CCAP</t>
  </si>
  <si>
    <t>A224. Elaborer, suivre et appuyer la mise en œuvre par les jeunes et les Institutions partenaires des plans de renforcement des capacités suite aux résultats de CCAP</t>
  </si>
  <si>
    <t>Appuyer les Institutions/Acteurs concernés à mieux traiter et répondre aux plaidoyers et recours faits par les jeunes</t>
  </si>
  <si>
    <t>A314. Appuyer les Institutions/Acteurs concernés à mieux traiter et répondre aux plaidoyers et recours faits par les jeunes</t>
  </si>
  <si>
    <t>A315. Opérationnaliser le mécanisme de protection des jeunes LA et défenseurs de la paix.</t>
  </si>
  <si>
    <t>Conduire une étude sur les facteurs de conflits et les rôles des femmes dans les résolutions des conflits</t>
  </si>
  <si>
    <t>Annexe D - Rapport Financier du projet PBF</t>
  </si>
  <si>
    <t>MSIS TATAO</t>
  </si>
  <si>
    <t>Notes quelconque le cas echeant (.e.g sur types des entrants ou justification du budget)</t>
  </si>
  <si>
    <t>TOTAL PROJET</t>
  </si>
  <si>
    <t>Budget</t>
  </si>
  <si>
    <t>TAUX D'EXECUTION DE MSIS TATAO</t>
  </si>
  <si>
    <t>Dépenses</t>
  </si>
  <si>
    <t>Reliquat</t>
  </si>
  <si>
    <t>Virement 1ere tranche</t>
  </si>
  <si>
    <t>BUDGET DU PROJET</t>
  </si>
  <si>
    <t>TAUX D'EXECUTION DE PNUD</t>
  </si>
  <si>
    <t>TAUX D'EXECUTION DE PROJET</t>
  </si>
  <si>
    <t>Taux d'execution</t>
  </si>
  <si>
    <t>Depenses</t>
  </si>
  <si>
    <t>1er virement (65%) par rapp au budget</t>
  </si>
  <si>
    <t>Budget du projet</t>
  </si>
  <si>
    <t>Niveau de depense/ engagement actuel en USD  - MSIS TATAO</t>
  </si>
  <si>
    <t xml:space="preserve">Niveau de depense TOTAL/ engagement actuel en USD  </t>
  </si>
  <si>
    <t>BUDGET</t>
  </si>
  <si>
    <t>DEPENSE</t>
  </si>
  <si>
    <t>Total Budget</t>
  </si>
  <si>
    <t>DEPENSE PNUD</t>
  </si>
  <si>
    <t>DEPENSE MSIS-TATAO</t>
  </si>
  <si>
    <t>DEPENSE TOTAL</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</si>
  <si>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</si>
  <si>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</si>
  <si>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</si>
  <si>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</si>
  <si>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</si>
  <si>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</si>
  <si>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</si>
  <si>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</si>
  <si>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</si>
  <si>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</si>
  <si>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</si>
  <si>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</si>
  <si>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</si>
  <si>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RESULTAT 2</t>
  </si>
  <si>
    <t>Total pour produit 2.1 (du tableau 1)</t>
  </si>
  <si>
    <t>Total pour produit 2.2 (du tableau 1)</t>
  </si>
  <si>
    <t>RESULTAT 3</t>
  </si>
  <si>
    <t>Total pour produit 3.1 (du tableau 1)</t>
  </si>
  <si>
    <t>Produit 3.2</t>
  </si>
  <si>
    <t>Total pour produit 3.2 (du tableau 1)</t>
  </si>
  <si>
    <t xml:space="preserve">Coûts supplémentaires </t>
  </si>
  <si>
    <t>Total des coûts supplémentaires (du tableau 1)</t>
  </si>
  <si>
    <t>TOTAL</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</si>
  <si>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</si>
  <si>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</si>
  <si>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</si>
  <si>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</si>
  <si>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</si>
  <si>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</si>
  <si>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</si>
  <si>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</si>
  <si>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</si>
  <si>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</si>
  <si>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</si>
  <si>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</si>
  <si>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</si>
  <si>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</si>
  <si>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</si>
  <si>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PNUD AND MSIS TATAO</t>
  </si>
  <si>
    <t>EXPECTED OUTPUTS</t>
  </si>
  <si>
    <t>PLANNED ACTIVITIES</t>
  </si>
  <si>
    <t>TIMEFRAME</t>
  </si>
  <si>
    <t>RESPONSIBLE PARTY</t>
  </si>
  <si>
    <t>PLANNED BUDGET</t>
  </si>
  <si>
    <t>And baseline, associated indicators and annual targets</t>
  </si>
  <si>
    <t xml:space="preserve">List activity and associated actions </t>
  </si>
  <si>
    <t>Q1</t>
  </si>
  <si>
    <t>Q2</t>
  </si>
  <si>
    <t>Q3</t>
  </si>
  <si>
    <t>Q4</t>
  </si>
  <si>
    <t>Q5</t>
  </si>
  <si>
    <t>Q6</t>
  </si>
  <si>
    <t>Met en œuvre</t>
  </si>
  <si>
    <t>Funding Source</t>
  </si>
  <si>
    <t>Budget Description</t>
  </si>
  <si>
    <t>Amount</t>
  </si>
  <si>
    <t>Résultat 1 : Les jeunes dans l’Observatoire Safidy mettent en place un système d’alerte précoce et de prévention des risques de conflits (SAP-PC).</t>
  </si>
  <si>
    <r>
      <t>Produit 1.1.</t>
    </r>
    <r>
      <rPr>
        <sz val="11"/>
        <color rgb="FF000000"/>
        <rFont val="Arial"/>
        <family val="2"/>
      </rPr>
      <t xml:space="preserve"> </t>
    </r>
  </si>
  <si>
    <r>
      <t>Activité 1.1.1:</t>
    </r>
    <r>
      <rPr>
        <sz val="11"/>
        <color rgb="FF000000"/>
        <rFont val="Arial"/>
        <family val="2"/>
      </rPr>
      <t xml:space="preserve"> </t>
    </r>
    <r>
      <rPr>
        <sz val="9"/>
        <color rgb="FF000000"/>
        <rFont val="Arial Narrow"/>
        <family val="2"/>
      </rPr>
      <t>Conduire une étude sur les facteurs de conflits et les rôles des femmes dans la résolution de conflits</t>
    </r>
  </si>
  <si>
    <t>Action 1.1.1.1: Identification et sélection prestataire</t>
  </si>
  <si>
    <t>X</t>
  </si>
  <si>
    <t>Groupe de consultants (int + nt)</t>
  </si>
  <si>
    <t>PBF</t>
  </si>
  <si>
    <t>71200 - Intl Consultants</t>
  </si>
  <si>
    <t>Jeunes/OSC du Réseau SAFIDY et acteurs formés et outillés sur le SAP-PC</t>
  </si>
  <si>
    <t xml:space="preserve">Indicateur 1.1.1. Nombre d’Organisations ou Groupes de jeunes sensibilisé et engagés pour le SAP-PC de l’observatoire de la paix </t>
  </si>
  <si>
    <t>Livrable : Rapport d’études</t>
  </si>
  <si>
    <t>Action 1.1.1.2: Mise en œuvre de l’étude</t>
  </si>
  <si>
    <t>Niveau de référence : 0</t>
  </si>
  <si>
    <r>
      <t>Activité 1.1.2 :</t>
    </r>
    <r>
      <rPr>
        <sz val="11"/>
        <color rgb="FF000000"/>
        <rFont val="Arial"/>
        <family val="2"/>
      </rPr>
      <t xml:space="preserve"> </t>
    </r>
    <r>
      <rPr>
        <sz val="9"/>
        <color rgb="FF000000"/>
        <rFont val="Arial Narrow"/>
        <family val="2"/>
      </rPr>
      <t>Sensibiliser/éduquer les communautés et les jeunes sur différentes thématiques/messages de prévention de conflits.</t>
    </r>
  </si>
  <si>
    <t>Action 1.1.2.1: Identification de groupes/organisations de jeunes engagés via Safidy et autres réseaux et initiatives ;</t>
  </si>
  <si>
    <t xml:space="preserve">PNUD </t>
  </si>
  <si>
    <t>ONG RAVINTSARA - Grants</t>
  </si>
  <si>
    <t>72600 - Grants</t>
  </si>
  <si>
    <t>Cible : = 22*10 = 220</t>
  </si>
  <si>
    <t xml:space="preserve">    </t>
  </si>
  <si>
    <r>
      <t>Action 1.1.2.2:</t>
    </r>
    <r>
      <rPr>
        <sz val="11"/>
        <color rgb="FF000000"/>
        <rFont val="Arial"/>
        <family val="2"/>
      </rPr>
      <t xml:space="preserve"> </t>
    </r>
    <r>
      <rPr>
        <sz val="9"/>
        <color rgb="FF000000"/>
        <rFont val="Arial Narrow"/>
        <family val="2"/>
      </rPr>
      <t>Analyses/consultations préalables avec les parties prenantes et les groupes de jeunes dans les régions concernées par élaboration d’ébauche de plan de communication</t>
    </r>
  </si>
  <si>
    <t>Consultant</t>
  </si>
  <si>
    <t>71300 - Local Consultant</t>
  </si>
  <si>
    <t xml:space="preserve">Livrable : </t>
  </si>
  <si>
    <t>Action 1.1.2.3. Atelier national d’information et d’élaboration/validation de plan de communication</t>
  </si>
  <si>
    <t xml:space="preserve">Service contractuel   </t>
  </si>
  <si>
    <t>Service Contractue,
Equipements, Fournitures</t>
  </si>
  <si>
    <t>Related CPD outcome:</t>
  </si>
  <si>
    <t>Plan d’éducation et de communication</t>
  </si>
  <si>
    <t>Action 1.1.2.4. Conduite de séance d’information et de sensibilisation des TAD/RSOD  (présentiel et en ligne)</t>
  </si>
  <si>
    <t xml:space="preserve">Sifaka via grants pour émissions en ligne de sensibilisation 
</t>
  </si>
  <si>
    <t>OSC Ravintsara pour conduite des séances d'information communautaires (grants)</t>
  </si>
  <si>
    <t>Rapport d’activités d’éducation et de communication</t>
  </si>
  <si>
    <t>Action 1.1.2.5. Planification et mise en œuvre d’activités d’éducation sur les facteurs de conflits et l’importance et nécessité du SAP-PC pour les TAK/RSOC + autres organisations de jeunes et femmes</t>
  </si>
  <si>
    <t xml:space="preserve">ONG Ravintsara Grants pour les activités communautaires 
</t>
  </si>
  <si>
    <t>SIFAKA/Hirondelle pour les actions de sensibilisation MEDIA</t>
  </si>
  <si>
    <r>
      <t>Activité 1.1.3 :</t>
    </r>
    <r>
      <rPr>
        <sz val="11"/>
        <color rgb="FF000000"/>
        <rFont val="Arial"/>
        <family val="2"/>
      </rPr>
      <t xml:space="preserve"> </t>
    </r>
    <r>
      <rPr>
        <sz val="9"/>
        <color rgb="FF000000"/>
        <rFont val="Arial Narrow"/>
        <family val="2"/>
      </rPr>
      <t>Conduire des séances de formations générales pour les jeunes sur la consolidation de la paix, le SAP-PC (et le CCAP)</t>
    </r>
  </si>
  <si>
    <t>Action 1.1.3.1: Capitalisation des acquis nationaux/internationaux et élaboration d’outils/guide de formation d’un SAP-PC à travers un consultant qui va faire l’inventaire des outils existants et l’élaboration de draft d’outils/guide</t>
  </si>
  <si>
    <t xml:space="preserve">PNUD
</t>
  </si>
  <si>
    <t>Services Contractuels pour Ateliers</t>
  </si>
  <si>
    <t>Services Contracts pour Consultants</t>
  </si>
  <si>
    <t>Action 1.1.3.2: Atelier de restitution et de validation des outils/guide de formation générale d’un SAP-PC</t>
  </si>
  <si>
    <t>Consultant International</t>
  </si>
  <si>
    <t>Déplacements, matériels et fourniture</t>
  </si>
  <si>
    <t>Livrable :</t>
  </si>
  <si>
    <t>Action 1.1.3.3: Conduite de FdF pour les RSOD/TAD qui vont assurer la mise en œuvre du SAP-PC au niveau régions et districts et former/superviser les RSOC/TAK</t>
  </si>
  <si>
    <t>Services Contractuels pour Consultant formateur et Organisation des Ateliers</t>
  </si>
  <si>
    <t>Action 1.1.3.4. Evaluation des participants à la formation</t>
  </si>
  <si>
    <t>DE, CP, et RTO</t>
  </si>
  <si>
    <r>
      <t>Activité 1.4 :</t>
    </r>
    <r>
      <rPr>
        <sz val="11"/>
        <color rgb="FF000000"/>
        <rFont val="Arial"/>
        <family val="2"/>
      </rPr>
      <t xml:space="preserve"> </t>
    </r>
    <r>
      <rPr>
        <sz val="9"/>
        <color rgb="FF000000"/>
        <rFont val="Arial Narrow"/>
        <family val="2"/>
      </rPr>
      <t>Conduire des séances d’informations et de mobilisation des acteurs effectués par les jeunes au niveau district et au niveau régional</t>
    </r>
  </si>
  <si>
    <r>
      <t>Action 1.4.1:</t>
    </r>
    <r>
      <rPr>
        <sz val="11"/>
        <color rgb="FF000000"/>
        <rFont val="Arial"/>
        <family val="2"/>
      </rPr>
      <t xml:space="preserve"> </t>
    </r>
    <r>
      <rPr>
        <sz val="9"/>
        <color rgb="FF000000"/>
        <rFont val="Arial Narrow"/>
        <family val="2"/>
      </rPr>
      <t>Ateliers régionaux d’information et de mobilisation des acteurs régionaux avec les formations en cascade au niveau des régions pour les RSOC/TAK</t>
    </r>
  </si>
  <si>
    <t>Grants à Ravintsara pour les Ateliers avec les jeunes et acteurs régionaux</t>
  </si>
  <si>
    <t>Action 1.4.2: Restitution/émission media conjointe par les OSC/jeunes et les acteurs/décideurs sur la collaboration pour le déploiement du SAP-PC</t>
  </si>
  <si>
    <t>Grants Hirondelle/SIFAKA</t>
  </si>
  <si>
    <r>
      <t>Produit 1.2:</t>
    </r>
    <r>
      <rPr>
        <sz val="11"/>
        <color rgb="FF000000"/>
        <rFont val="Arial"/>
        <family val="2"/>
      </rPr>
      <t xml:space="preserve"> </t>
    </r>
    <r>
      <rPr>
        <b/>
        <sz val="8"/>
        <color rgb="FF000000"/>
        <rFont val="Arial"/>
        <family val="2"/>
      </rPr>
      <t>Les SAP-PC sont opérationnels au niveau de l’Observatoire</t>
    </r>
  </si>
  <si>
    <r>
      <t>Activité 1.2.1:</t>
    </r>
    <r>
      <rPr>
        <sz val="11"/>
        <color rgb="FF000000"/>
        <rFont val="Arial"/>
        <family val="2"/>
      </rPr>
      <t xml:space="preserve"> </t>
    </r>
    <r>
      <rPr>
        <sz val="9"/>
        <color rgb="FF000000"/>
        <rFont val="Arial Narrow"/>
        <family val="2"/>
      </rPr>
      <t>Organiser/répartir et déployer les jeunes observateurs avec les outils</t>
    </r>
  </si>
  <si>
    <t>Action 1.2.1.1: AMI  lancé auprès des participants/jeunes sensibilisés et ayant bénéficié des formations générales, sélection/recrutement et répartition des jeunes observateurs SAP-PC</t>
  </si>
  <si>
    <t>DE, CP, RTO et RMDJ</t>
  </si>
  <si>
    <t>Baseline:</t>
  </si>
  <si>
    <t>Indicators:</t>
  </si>
  <si>
    <t>Livrable :</t>
  </si>
  <si>
    <t>Action 1.2.1.2. Conception, préparation et élaboration des outils/guide de formation sur les outils et la méthodologie de mise en œuvre du SAP-PC</t>
  </si>
  <si>
    <t>DE, CP, RTO et RMDJ en appui au Consultant SAP-PC recruté par PNUD</t>
  </si>
  <si>
    <t>Targets:</t>
  </si>
  <si>
    <t>Action 1.2.1.3. Mise en œuvre de la formation des jeunes observateurs sélectionnés/recrutés</t>
  </si>
  <si>
    <t xml:space="preserve">Grants Via Ravintsara </t>
  </si>
  <si>
    <r>
      <t>Activité 1.2.2 :</t>
    </r>
    <r>
      <rPr>
        <sz val="11"/>
        <color rgb="FF000000"/>
        <rFont val="Arial"/>
        <family val="2"/>
      </rPr>
      <t xml:space="preserve"> </t>
    </r>
    <r>
      <rPr>
        <sz val="9"/>
        <color rgb="FF000000"/>
        <rFont val="Arial Narrow"/>
        <family val="2"/>
      </rPr>
      <t>Conduire et rapporter le SAP-PC</t>
    </r>
  </si>
  <si>
    <r>
      <t>Action 1.2.2.1:</t>
    </r>
    <r>
      <rPr>
        <sz val="11"/>
        <color rgb="FF000000"/>
        <rFont val="Arial"/>
        <family val="2"/>
      </rPr>
      <t xml:space="preserve"> </t>
    </r>
    <r>
      <rPr>
        <sz val="9"/>
        <color rgb="FF000000"/>
        <rFont val="Arial Narrow"/>
        <family val="2"/>
      </rPr>
      <t>Mise en place et opérationnalisation de la plateforme de signalements par des Numéro verts et réseaux sociaux</t>
    </r>
  </si>
  <si>
    <t>Grants Via Ravintsara + Matériels et équipements</t>
  </si>
  <si>
    <t>Action 1.2.2.2. Suivi-observation par les RSOD et RSOC des réalités sur terrain par rapport aux facteurs/risques de conflit.</t>
  </si>
  <si>
    <t>Action 1.2.2.3. Production et dissémination des rapports SAP-PC (Atelier/Réunions techniques de plaidoyer et concertation/mobilisation avec les autorités régionales/locales; Atelier semestriel de dissémination).</t>
  </si>
  <si>
    <t>DE, CP, RTO et RMDJ en appui des équipes de RAVINTSARA et des Consultants pour 122.</t>
  </si>
  <si>
    <r>
      <t>Activité 1.2.3 :</t>
    </r>
    <r>
      <rPr>
        <sz val="11"/>
        <color rgb="FF000000"/>
        <rFont val="Arial"/>
        <family val="2"/>
      </rPr>
      <t xml:space="preserve"> </t>
    </r>
    <r>
      <rPr>
        <sz val="9"/>
        <color rgb="FF000000"/>
        <rFont val="Arial Narrow"/>
        <family val="2"/>
      </rPr>
      <t>Mise en place et opérationnalisation de Cellules de veilles pour prendre les décisions/mesures de réponses par rapport au SAP-PC</t>
    </r>
  </si>
  <si>
    <t>Action 1.2.3.1. Atelier de mise en place des cellules de veille</t>
  </si>
  <si>
    <t xml:space="preserve">Action 1.2.3.2. Ateliers de réunions techniques </t>
  </si>
  <si>
    <t>DE, CP, RTO et RMDJ en appui des équipes de RAVINTSARA pour 1221 à 1223.</t>
  </si>
  <si>
    <t>Résultat 2 : Les jeunes sont engagés dans les contrôles citoyens des actions publiques (CCAP) en faveur de la paix.</t>
  </si>
  <si>
    <r>
      <t xml:space="preserve">Produit </t>
    </r>
    <r>
      <rPr>
        <b/>
        <i/>
        <sz val="10"/>
        <color rgb="FF000000"/>
        <rFont val="Arial"/>
        <family val="2"/>
      </rPr>
      <t>21. Thématiques des actions publiques à contrôler définies par les jeunes et les différents acteurs de développement</t>
    </r>
  </si>
  <si>
    <t>Activité 2.1.1: Organiser des ateliers de concertations régionales pour prioriser et valider les actions publiques.</t>
  </si>
  <si>
    <t>Action 2.1.1.1 : Approfondissement &amp; analyse des contextes à partir de revue documentaire complétée par des entrevues et réunions techniques avec les parties prenantes</t>
  </si>
  <si>
    <t>ONG IVORARY - Grants</t>
  </si>
  <si>
    <t>Action 2.1.1.2: Mobilisation des acteurs publics et communautaires cibles par les équipes régionales du projet et les Ministères (MJS et MPPSPF).</t>
  </si>
  <si>
    <t>Action 2.1.1.3: Préparation et conduite des ateliers de concertation dans les régions.</t>
  </si>
  <si>
    <r>
      <t>Activité 2.1.2:</t>
    </r>
    <r>
      <rPr>
        <sz val="11"/>
        <color rgb="FF000000"/>
        <rFont val="Arial"/>
        <family val="2"/>
      </rPr>
      <t xml:space="preserve"> </t>
    </r>
    <r>
      <rPr>
        <sz val="9"/>
        <color rgb="FF000000"/>
        <rFont val="Arial Narrow"/>
        <family val="2"/>
      </rPr>
      <t>Organiser des séances d’informations/formations et mobilisation des jeunes pour les CCAP</t>
    </r>
  </si>
  <si>
    <r>
      <t>Action 2.1.2.1:</t>
    </r>
    <r>
      <rPr>
        <sz val="11"/>
        <color rgb="FF000000"/>
        <rFont val="Arial"/>
        <family val="2"/>
      </rPr>
      <t xml:space="preserve"> </t>
    </r>
    <r>
      <rPr>
        <sz val="9"/>
        <color rgb="FF000000"/>
        <rFont val="Arial Narrow"/>
        <family val="2"/>
      </rPr>
      <t>Etablissement des matériels/outils d’informations pour les jeunes adaptés aux thématiques/contextes régionaux</t>
    </r>
  </si>
  <si>
    <t>Déplacements, fournitures, matériels des  DE, RTO, RCE, RMDJ (en appui à IVORARY)</t>
  </si>
  <si>
    <t>Action 2.1.2.2: Conduite de séances informations (Ateliers et/ou séances en ligne via les réseaux sociaux) pour les jeunes</t>
  </si>
  <si>
    <t>SIFAKA - Grants</t>
  </si>
  <si>
    <r>
      <t>Action 2.1.2.3:</t>
    </r>
    <r>
      <rPr>
        <sz val="11"/>
        <color rgb="FF000000"/>
        <rFont val="Arial"/>
        <family val="2"/>
      </rPr>
      <t xml:space="preserve"> </t>
    </r>
    <r>
      <rPr>
        <sz val="9"/>
        <color rgb="FF000000"/>
        <rFont val="Arial Narrow"/>
        <family val="2"/>
      </rPr>
      <t>Sensibilisation/Mobilisation communautaire et via les media pour l’engagement des OSC, citoyens/jeunes dans la mise en œuvre du CCAP</t>
    </r>
  </si>
  <si>
    <t xml:space="preserve">SIFAKA - Grants (Media)
</t>
  </si>
  <si>
    <t>IVORARY Grants (Activités Communautaires)</t>
  </si>
  <si>
    <r>
      <t xml:space="preserve">Produit 2.2. </t>
    </r>
    <r>
      <rPr>
        <b/>
        <i/>
        <sz val="10"/>
        <color rgb="FF000000"/>
        <rFont val="Arial"/>
        <family val="2"/>
      </rPr>
      <t xml:space="preserve">Contrôles citoyens des actions publiques mis en œuvre </t>
    </r>
  </si>
  <si>
    <t>Activité 2.2.1. Elaborer les outils/guide de formation de CCAP</t>
  </si>
  <si>
    <t>Action 2.2.1.1. Inventaire des outils existants au niveau national et international</t>
  </si>
  <si>
    <t xml:space="preserve">MSIS </t>
  </si>
  <si>
    <t>Services Contractuels (Consultant)</t>
  </si>
  <si>
    <t>Action 2.2.1.2. Atelier de capitalisation des acquis nationaux/internationaux notamment l’ECB  et le BQP  déjà appliqués et éprouvés par MSIS-Tatao</t>
  </si>
  <si>
    <t>Action 2.2.1.3. Elaboration des outils/guide Tafita  de formation d’un CCAP</t>
  </si>
  <si>
    <t>Action 2.2.1.4. Atelier de restitution et de validation des outils/guide de formation d’un CCAP</t>
  </si>
  <si>
    <t>Activité 2.2.2. Conduire des séances de formation pour les jeunes</t>
  </si>
  <si>
    <t xml:space="preserve">Action 2.2.2.1. Identification et sélection des participants/jeunes sensibilisés et ayant bénéficié des formations générales (A112), sélection/recrutement et répartition des jeunes observateurs CCAP </t>
  </si>
  <si>
    <t>Services Contract</t>
  </si>
  <si>
    <t>Action 2.2.2.2. Conception, préparation et élaboration des outils/guide de formation sur les outils et la méthodologie de mise en œuvre du Tafita/CCAP</t>
  </si>
  <si>
    <t>Services Contracts</t>
  </si>
  <si>
    <t>Action 2.2.2.3. Mise en œuvre de la formation des jeunes observateurs sélectionnés/recrutés</t>
  </si>
  <si>
    <t>Grants SAFIDY</t>
  </si>
  <si>
    <t>Activité 2.2.3. Organiser et accompagner les jeunes dans les CCAP et diffuser les résultats</t>
  </si>
  <si>
    <t>Action 2.2.3.1. Mise en place de centre d’appel et opérationnalisation à travers l’engagement des jeunes Agents/Superviseurs d’appel. Ce sont les RSOAP et les Représentants des prestataires/autorités délivrant les services publics qui sont appelés</t>
  </si>
  <si>
    <t>Action 2.2.3.2. Suivi-observation par les RSOAP-Tafita des réalités dans la mise en œuvre des prestations au niveau des services/actions publiques dans les districts/communes par rapport aux risques de conflit et production et dissémination des rapports (Atelier semestriel de dissémination)</t>
  </si>
  <si>
    <t>Action 2.2.3.3. Organisation d’ateliers et de réunions techniques de plaidoyer auprès des autorités régionales/locales</t>
  </si>
  <si>
    <t>Services Contractuels &amp; Déplacements</t>
  </si>
  <si>
    <t xml:space="preserve">Activité 224. Elaborer, suivre et appuyer la mise en œuvre par les jeunes et les Institutions partenaires des plans de renforcement des capacités suite aux résultats de CCAP </t>
  </si>
  <si>
    <t>Action 2.2.4.1. Atelier d’élaboration de plans de renforcement des capacités par les Institutions/autorités et les bénéficiaires/jeunes pour amélioration continue des actions publiques en faveur de la consolidation de la paix.</t>
  </si>
  <si>
    <t>Services Contractuels, Déplacements, Fournitures et matériels</t>
  </si>
  <si>
    <t>Action 2.2.4.2. Mise en place de Comité et suivi conjoint (Autorités/Institutions et OSC/jeunes) de  la mise en œuvre des activités des plans de renforcement des capacités (Certains activités seraient appuyées dans les projets de plaidoyers ou d’actions communautaires des Produits 3.1 et 3.2)</t>
  </si>
  <si>
    <t>Résultat 3 : Les plaidoyers, recours et actions de réponses aux risques de conflits portés et mis en œuvre par les jeunes en collaboration avec les acteurs communautaires sont renforcés</t>
  </si>
  <si>
    <t>Produit 31. Campagnes de plaidoyers et recours faits par les jeunes considérés par les autorités/décideurs</t>
  </si>
  <si>
    <t>Activité 3.1.1. Elaborer de guide/outils et conduire des formations en plaidoyers et recours pour les jeunes</t>
  </si>
  <si>
    <t xml:space="preserve">Action 311.1. Conception et élaboration des guides / outils, conduite d’un atelier de validation de guide de plaidoyer et de recours en capitalisant le guide des plaidoyers déjà disponible auprès du MJS </t>
  </si>
  <si>
    <t>Intl consultant (même équipe que pour étude P1.1)</t>
  </si>
  <si>
    <t>Equipements, Forunitures, Déplacements</t>
  </si>
  <si>
    <t>Action 311.2. Elaboration des outils, plans et curricula de formation à partir du guide élaboré</t>
  </si>
  <si>
    <t>Action 311.3. Conduite des formations en plaidoyer et recours incluant l’élaboration des plans de plaidoyer et évaluation des formations y compris une communication, présentations dans le médias</t>
  </si>
  <si>
    <t>Sifaka via Grants pour communication média</t>
  </si>
  <si>
    <t xml:space="preserve">Activité 3.1.2. Accompagner la mise en œuvre des campagnes de plaidoyers des jeunes </t>
  </si>
  <si>
    <t>Action 3.1.2.1. Mise en œuvre de plans de plaidoyer par les jeunes notamment à travers la planification et l’organisation de dialogues avec les autorités/décideurs</t>
  </si>
  <si>
    <t>AVG via  Grants</t>
  </si>
  <si>
    <t>Sifaka grants</t>
  </si>
  <si>
    <t>Action 3.1.2.2. Accompagnement, encadrement, coaching et suivi des campagnes de plaidoyer des jeunes</t>
  </si>
  <si>
    <t xml:space="preserve">AVG via  Grants </t>
  </si>
  <si>
    <t>Activité 313. Accompagner les jeunes à déposer des recours auprès des Institutions</t>
  </si>
  <si>
    <t xml:space="preserve">Action 313.1. Appui des jeunes dans la rédaction et dépôt de recours selon le guide et avec l’appui de juristes partenaires (Avocats ou Magistrats bénévoles) </t>
  </si>
  <si>
    <t>Action 313.2. Suivi des recours faits par les jeunes auprès des autorités/décideurs compétents.</t>
  </si>
  <si>
    <t>Activité 314. Appuyer les Institutions/Acteurs concernés à mieux traiter et répondre aux plaidoyers et recours faits par les jeunes</t>
  </si>
  <si>
    <t xml:space="preserve">Action 314.1. Organiser un Atelier avec les Institutions/Acteurs pour définir les mesures et outils de communication, de traitement des plaidoyers/recours faits par les jeunes (y compris la mise en place d’espaces/instances de participation des OSC/Jeunes)  </t>
  </si>
  <si>
    <t>Services Contractuel (Infographiste)</t>
  </si>
  <si>
    <t>Action 314.2. Organiser des dialogues réguliers entre les autorités/décideurs et les OSC/jeunes</t>
  </si>
  <si>
    <t>Sifaka : Grnats (organisation de débats publics)</t>
  </si>
  <si>
    <t>Activité 315. Opérationnaliser le mécanisme de protection des jeunes LA et défenseurs de la paix.</t>
  </si>
  <si>
    <t xml:space="preserve">Action 315.1. Renforcer le leadership, le réseautage &amp; la visibilité des jeunes LA et défenseurs de la paix </t>
  </si>
  <si>
    <t>AVG Grants</t>
  </si>
  <si>
    <t>Action 315.2. Renforcer l’accompagnement juridique des Jeunes LA et DDP à travers l’appui des juristes partenaires</t>
  </si>
  <si>
    <t xml:space="preserve">Action 315.3. Mettre en œuvre des actions d’accompagnement et de prise en charge socio-économique des JLA/DDP (compensation de pertes de revenus, accompagnement psycho-sociale, prise en charge sanitaire)  </t>
  </si>
  <si>
    <t>Activité 321.Conduire des formations pour les jeunes et les acteurs partenaires dans l’élaboration de projets pour adresser les recommandations des SAP-PC et CCAP</t>
  </si>
  <si>
    <t>Action 321.1. Elaboration des outils, plans et curricula de formation en leadership, développement et gestion de projet</t>
  </si>
  <si>
    <t>Service Contracts (Consultant)</t>
  </si>
  <si>
    <t>Action 321.2. Conduite des formations en leadership, développement et gestion de projet et évaluation des formations.</t>
  </si>
  <si>
    <t xml:space="preserve">
Services Contract (Consultants) et
ONG AIM Grants</t>
  </si>
  <si>
    <t>Services contracts (Assist Plaidoyer), Equipements, Fournitures</t>
  </si>
  <si>
    <t>Activité 322. Fournir des subventions, superviser/suivre les projets de prévention/résolution de conflits réalisés par les jeunes notamment ceux facilitant les interactions comme leur engagement dans structures/mécanismes de concertations, les échanges à travers des événements sportifs/Culturels, l’inclusion par la protection des jeunes victimes/à risques des conflits, ou des JLA, etc.</t>
  </si>
  <si>
    <t>Action 322.1. Sélection et accompagnement du montage des projets</t>
  </si>
  <si>
    <t>AIM via Grants</t>
  </si>
  <si>
    <t>Action 322. Suivi et Accompagnement de la mise en œuvre des projets</t>
  </si>
  <si>
    <t>AIM via Grants/
Réseaux jeunes TATAO grants</t>
  </si>
  <si>
    <t>A323. Organiser des visites-échanges entre les jeunes qui participent dans les mécanismes SAP-PC, CCAP et mettant en œuvre des projets de prévention des conflits.</t>
  </si>
  <si>
    <t>Activités du projet R1, R2, R3</t>
  </si>
  <si>
    <t>Gestion du Projet</t>
  </si>
  <si>
    <t>Charges de fonctionnement :</t>
  </si>
  <si>
    <t>Cout de personnel du projet si pas inclus dans les activités ci-dessus</t>
  </si>
  <si>
    <t>Salaire staff, DPC, Charges locatives, Admin fourniture et matériel de bureau, équipement informatique, etc…</t>
  </si>
  <si>
    <t>Couts opérationnels si pas inclus dans les activités ci-dessus</t>
  </si>
  <si>
    <t>72100 - Contractual Services</t>
  </si>
  <si>
    <t xml:space="preserve">Indicateurs : </t>
  </si>
  <si>
    <t>(i) Taux de décaissement.                                         Cible : 100%                                                                 (ii) Rating de l'audit du projet.                                      Cible : Satisfaisant.                                    (iii) Disponibilité des rapports périodiques du projet.                                   Cibles : 04 Rapports Trimestriels d’Avancement (RTA) et 01 rapport annuel narratif</t>
  </si>
  <si>
    <t>(iv) Disponibilité Rapport évaluation finale (si planifiée)</t>
  </si>
  <si>
    <t>Comités de pilotage/</t>
  </si>
  <si>
    <t>Comités de pilotage</t>
  </si>
  <si>
    <t>Cible : 01 Rapport Evaluation finale du projet</t>
  </si>
  <si>
    <t>Suivi des résultats du PTA 2020</t>
  </si>
  <si>
    <t xml:space="preserve">Missions conjointes de suivi </t>
  </si>
  <si>
    <t>Déplacements</t>
  </si>
  <si>
    <t>Evaluation du projet (si planifiée)</t>
  </si>
  <si>
    <t>Recrutement consultants</t>
  </si>
  <si>
    <t>Atelier de validation du Rapport de l’évaluation</t>
  </si>
  <si>
    <t>TOTAL PNUD</t>
  </si>
  <si>
    <t>TOTAL MSIS TATAO</t>
  </si>
  <si>
    <t>Niveau de depense actuel en USD  -PNUD</t>
  </si>
  <si>
    <t>RAPPORT OBSMADA PAR CATEGORIE BUDGETAIRE_2e semetre 2021</t>
  </si>
  <si>
    <t>TABLEAU RECAPITULATIF RAPPORT FINANCIER PAR PRODUIT PROJET OBSMADA 2e Semetre 2021</t>
  </si>
  <si>
    <t>Suivant le rapport du Project Budget Balance (PBB) et du Project Transactions Details (PTD) du 31 Oct 2021, du cote de PNUD, le Rapport Financier s'eleve a 141,397.12 USD; alors que le Rapport sur IFR s'eleve a 139,293.69USD du au retard d'enregistrement des depenses par rapport a celui du PPB et PTD.</t>
  </si>
  <si>
    <t>Du cote du PNUD, GMS 468.10 USD.</t>
  </si>
  <si>
    <t>Micro-subvention  pour la mise en œuvre du CCAP par ONG IVORARY et pour les actions médiatiques de SIFAKA / HIRONDELLE</t>
  </si>
  <si>
    <t>Micro-subvention pour la mise en oeuvre du CCAP par ONG IVORARY et pour les actions médiatiques de SIFAKA / HIRONDELLE + GMS 3601USD</t>
  </si>
  <si>
    <t>Micro-subvention pour les actions médiatiques SIFAKA / HIRONDELLE</t>
  </si>
  <si>
    <t>1ère tranche des consultants en SAP-PC, conflict scan et mission de suivi formation en cascade à Fianarantsoa</t>
  </si>
  <si>
    <t>Micro-subvention pour les actions médiatiques de SIFAKA / HIRONDELLE + GMS 599.90 USD</t>
  </si>
  <si>
    <t>Micro-subvention pour les actions médiatiques SIFAKA / HIRONDELLE et GMS 546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</si>
</sst>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0.00_);_(&quot;$&quot;* \(#,##0.00\);_(&quot;$&quot;* &quot;-&quot;??_);_(@_)"/>
    <numFmt numFmtId="165" formatCode="_(* #,##0.00_);_(* \(#,##0.00\);_(* &quot;-&quot;??_);_(@_)"/>
    <numFmt numFmtId="166" formatCode="_-* #,##0.00\ _€_-;\-* #,##0.00\ _€_-;_-* &quot;-&quot;??\ _€_-;_-@_-"/>
    <numFmt numFmtId="167" formatCode="_-* #,##0_-;\-* #,##0_-;_-* &quot;-&quot;??_-;_-@_-"/>
    <numFmt numFmtId="168" formatCode="_-* #,##0.0_-;\-* #,##0.0_-;_-* &quot;-&quot;??_-;_-@_-"/>
    <numFmt numFmtId="169" formatCode="#,##0.0"/>
    <numFmt numFmtId="170" formatCode="_-* #,##0\ _€_-;\-* #,##0\ _€_-;_-* &quot;-&quot;??\ _€_-;_-@_-"/>
    <numFmt numFmtId="171" formatCode="_-* #,##0.00000_-;\-* #,##0.00000_-;_-* &quot;-&quot;??_-;_-@_-"/>
    <numFmt numFmtId="172" formatCode="_-* #,##0.00000\ _€_-;\-* #,##0.00000\ _€_-;_-* &quot;-&quot;??\ _€_-;_-@_-"/>
    <numFmt numFmtId="173" formatCode="_(&quot;$&quot;* #,##0_);_(&quot;$&quot;* \(#,##0\);_(&quot;$&quot;* &quot;-&quot;??_);_(@_)"/>
    <numFmt numFmtId="174" formatCode="_-* #,##0.00\ _A_r_-;\-* #,##0.00\ _A_r_-;_-* &quot;-&quot;??\ _A_r_-;_-@_-"/>
  </numFmts>
  <fonts count="71" x14ac:knownFonts="1">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sz val="11"/>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4"/>
      <color theme="1"/>
      <name val="Calibri"/>
      <family val="2"/>
      <scheme val="minor"/>
    </font>
    <font>
      <b/>
      <sz val="10"/>
      <color theme="1"/>
      <name val="Calibri"/>
      <family val="2"/>
      <scheme val="minor"/>
    </font>
    <font>
      <sz val="10"/>
      <color theme="1"/>
      <name val="Arial"/>
      <family val="2"/>
    </font>
    <font>
      <b/>
      <sz val="10"/>
      <color theme="1"/>
      <name val="Arial"/>
      <family val="2"/>
    </font>
    <font>
      <b/>
      <sz val="14"/>
      <color theme="1"/>
      <name val="Times New Roman"/>
      <family val="1"/>
    </font>
    <font>
      <b/>
      <sz val="12"/>
      <color theme="1"/>
      <name val="Times New Roman"/>
      <family val="1"/>
    </font>
    <font>
      <sz val="10"/>
      <color rgb="FF000000"/>
      <name val="Arial"/>
      <family val="2"/>
    </font>
    <font>
      <u/>
      <sz val="10"/>
      <color theme="10"/>
      <name val="Calibri"/>
      <family val="2"/>
      <scheme val="minor"/>
    </font>
    <font>
      <b/>
      <sz val="12"/>
      <color indexed="8"/>
      <name val="Times New Roman"/>
      <family val="1"/>
    </font>
    <font>
      <sz val="10"/>
      <color rgb="FFFF0000"/>
      <name val="Arial"/>
      <family val="2"/>
    </font>
    <font>
      <b/>
      <sz val="18"/>
      <color rgb="FFFF0000"/>
      <name val="Arial"/>
      <family val="2"/>
    </font>
    <font>
      <b/>
      <sz val="12"/>
      <color theme="1"/>
      <name val="Arial"/>
      <family val="2"/>
    </font>
    <font>
      <sz val="12"/>
      <color rgb="FF000000"/>
      <name val="Times New Roman"/>
      <family val="1"/>
    </font>
    <font>
      <b/>
      <sz val="12"/>
      <color rgb="FF000000"/>
      <name val="Times New Roman"/>
      <family val="1"/>
    </font>
    <font>
      <b/>
      <sz val="12"/>
      <color rgb="FFFF0000"/>
      <name val="Arial"/>
      <family val="2"/>
    </font>
    <font>
      <b/>
      <sz val="14"/>
      <color rgb="FFFF0000"/>
      <name val="Arial"/>
      <family val="2"/>
    </font>
    <font>
      <sz val="14"/>
      <color theme="1"/>
      <name val="Calibri"/>
      <family val="2"/>
    </font>
    <font>
      <sz val="14"/>
      <color theme="1"/>
      <name val="Arial"/>
      <family val="2"/>
    </font>
    <font>
      <b/>
      <sz val="14"/>
      <color theme="1"/>
      <name val="Arial"/>
      <family val="2"/>
    </font>
    <font>
      <sz val="11"/>
      <color theme="1"/>
      <name val="Arial"/>
      <family val="2"/>
    </font>
    <font>
      <sz val="10"/>
      <name val="Arial"/>
      <family val="2"/>
    </font>
    <font>
      <sz val="11"/>
      <name val="Calibri"/>
      <family val="2"/>
    </font>
    <font>
      <b/>
      <sz val="11"/>
      <color rgb="FF000000"/>
      <name val="Calibri"/>
      <family val="2"/>
    </font>
    <font>
      <sz val="11"/>
      <color rgb="FF000000"/>
      <name val="Calibri"/>
      <family val="2"/>
    </font>
    <font>
      <b/>
      <sz val="11"/>
      <color theme="1"/>
      <name val="Arial Narrow"/>
      <family val="2"/>
    </font>
    <font>
      <b/>
      <sz val="12"/>
      <color rgb="FF002060"/>
      <name val="Calibri"/>
      <family val="2"/>
      <scheme val="minor"/>
    </font>
    <font>
      <sz val="12"/>
      <color rgb="FF000000"/>
      <name val="Calibri"/>
      <family val="2"/>
    </font>
    <font>
      <b/>
      <sz val="36"/>
      <color rgb="FF000000"/>
      <name val="Calibri"/>
      <family val="2"/>
    </font>
    <font>
      <sz val="36"/>
      <color rgb="FF000000"/>
      <name val="Calibri"/>
      <family val="2"/>
    </font>
    <font>
      <b/>
      <sz val="12"/>
      <color rgb="FF000000"/>
      <name val="Calibri"/>
      <family val="2"/>
    </font>
    <font>
      <sz val="11"/>
      <color theme="1"/>
      <name val="Calibri"/>
      <family val="2"/>
    </font>
    <font>
      <sz val="11"/>
      <color theme="1"/>
      <name val="Times New Roman"/>
      <family val="1"/>
    </font>
    <font>
      <sz val="12"/>
      <name val="Calibri"/>
      <family val="2"/>
    </font>
    <font>
      <b/>
      <sz val="9"/>
      <color rgb="FF000000"/>
      <name val="Arial"/>
      <family val="2"/>
    </font>
    <font>
      <i/>
      <sz val="9"/>
      <color rgb="FF000000"/>
      <name val="Arial Narrow"/>
      <family val="2"/>
    </font>
    <font>
      <i/>
      <sz val="8"/>
      <color rgb="FF000000"/>
      <name val="Arial"/>
      <family val="2"/>
    </font>
    <font>
      <sz val="8"/>
      <color rgb="FF000000"/>
      <name val="Arial"/>
      <family val="2"/>
    </font>
    <font>
      <sz val="9"/>
      <color rgb="FF000000"/>
      <name val="Arial"/>
      <family val="2"/>
    </font>
    <font>
      <sz val="11"/>
      <color rgb="FF000000"/>
      <name val="Arial"/>
      <family val="2"/>
    </font>
    <font>
      <b/>
      <sz val="11"/>
      <color rgb="FF000000"/>
      <name val="Arial"/>
      <family val="2"/>
    </font>
    <font>
      <b/>
      <sz val="8"/>
      <color rgb="FF000000"/>
      <name val="Arial"/>
      <family val="2"/>
    </font>
    <font>
      <sz val="9"/>
      <color rgb="FF000000"/>
      <name val="Arial Narrow"/>
      <family val="2"/>
    </font>
    <font>
      <sz val="11"/>
      <color rgb="FF000000"/>
      <name val="Arial Narrow"/>
      <family val="2"/>
    </font>
    <font>
      <b/>
      <i/>
      <sz val="10"/>
      <color rgb="FF000000"/>
      <name val="Arial"/>
      <family val="2"/>
    </font>
    <font>
      <b/>
      <sz val="11"/>
      <color rgb="FF000000"/>
      <name val="Arial Narrow"/>
      <family val="2"/>
    </font>
    <font>
      <b/>
      <i/>
      <sz val="10"/>
      <color rgb="FF000000"/>
      <name val="Arial Narrow"/>
      <family val="2"/>
    </font>
    <font>
      <b/>
      <sz val="10"/>
      <color rgb="FF000000"/>
      <name val="Arial"/>
      <family val="2"/>
    </font>
    <font>
      <b/>
      <sz val="9"/>
      <color rgb="FF000000"/>
      <name val="Arial Narrow"/>
      <family val="2"/>
    </font>
    <font>
      <sz val="8"/>
      <color rgb="FF000000"/>
      <name val="Arial Narrow"/>
      <family val="2"/>
    </font>
    <font>
      <sz val="11"/>
      <color rgb="FFFF0000"/>
      <name val="Calibri"/>
      <family val="2"/>
    </font>
    <font>
      <sz val="12"/>
      <name val="Calibri"/>
      <family val="2"/>
      <scheme val="minor"/>
    </font>
    <font>
      <sz val="12"/>
      <color rgb="FFFF0000"/>
      <name val="Calibri"/>
      <family val="2"/>
      <scheme val="minor"/>
    </font>
    <font>
      <b/>
      <sz val="12"/>
      <name val="Calibri"/>
      <family val="2"/>
      <scheme val="minor"/>
    </font>
    <font>
      <b/>
      <sz val="11"/>
      <color rgb="FF002060"/>
      <name val="Calibri"/>
      <family val="2"/>
      <scheme val="minor"/>
    </font>
    <font>
      <b/>
      <sz val="12"/>
      <color rgb="FF002060"/>
      <name val="Calibri"/>
      <family val="2"/>
    </font>
    <font>
      <sz val="12"/>
      <color rgb="FF002060"/>
      <name val="Calibri"/>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D0CECE"/>
        <bgColor rgb="FF000000"/>
      </patternFill>
    </fill>
    <fill>
      <patternFill patternType="solid">
        <fgColor rgb="FFE2EFDA"/>
        <bgColor rgb="FF000000"/>
      </patternFill>
    </fill>
    <fill>
      <patternFill patternType="solid">
        <fgColor rgb="FFDDEBF7"/>
        <bgColor rgb="FF000000"/>
      </patternFill>
    </fill>
    <fill>
      <patternFill patternType="solid">
        <fgColor theme="0" tint="-0.249977111117893"/>
        <bgColor rgb="FF000000"/>
      </patternFill>
    </fill>
    <fill>
      <patternFill patternType="solid">
        <fgColor rgb="FFFFFF99"/>
        <bgColor rgb="FFFFFF99"/>
      </patternFill>
    </fill>
    <fill>
      <patternFill patternType="solid">
        <fgColor theme="0" tint="-0.34998626667073579"/>
        <bgColor rgb="FFCCCCCC"/>
      </patternFill>
    </fill>
    <fill>
      <patternFill patternType="solid">
        <fgColor rgb="FFCCCCCC"/>
        <bgColor rgb="FFCCCCCC"/>
      </patternFill>
    </fill>
    <fill>
      <patternFill patternType="solid">
        <fgColor rgb="FFBDD6EE"/>
        <bgColor rgb="FFBDD6EE"/>
      </patternFill>
    </fill>
    <fill>
      <patternFill patternType="solid">
        <fgColor rgb="FFFFFFFF"/>
        <bgColor rgb="FFFFFFFF"/>
      </patternFill>
    </fill>
    <fill>
      <patternFill patternType="solid">
        <fgColor theme="0" tint="-0.249977111117893"/>
        <bgColor rgb="FF808080"/>
      </patternFill>
    </fill>
    <fill>
      <patternFill patternType="solid">
        <fgColor rgb="FFA6A6A6"/>
        <bgColor rgb="FFA6A6A6"/>
      </patternFill>
    </fill>
    <fill>
      <patternFill patternType="solid">
        <fgColor theme="0"/>
        <bgColor rgb="FF808080"/>
      </patternFill>
    </fill>
    <fill>
      <patternFill patternType="solid">
        <fgColor rgb="FFFFFF00"/>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indexed="64"/>
      </left>
      <right style="medium">
        <color indexed="64"/>
      </right>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medium">
        <color indexed="64"/>
      </top>
      <bottom/>
      <diagonal/>
    </border>
  </borders>
  <cellStyleXfs count="9">
    <xf numFmtId="0" fontId="0" fillId="0" borderId="0"/>
    <xf numFmtId="164"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22" fillId="0" borderId="0" applyNumberFormat="0" applyFill="0" applyBorder="0" applyAlignment="0" applyProtection="0"/>
    <xf numFmtId="166" fontId="5" fillId="0" borderId="0" applyFont="0" applyFill="0" applyBorder="0" applyAlignment="0" applyProtection="0"/>
    <xf numFmtId="0" fontId="38" fillId="0" borderId="0"/>
    <xf numFmtId="164" fontId="5" fillId="0" borderId="0" applyFont="0" applyFill="0" applyBorder="0" applyAlignment="0" applyProtection="0"/>
  </cellStyleXfs>
  <cellXfs count="845">
    <xf numFmtId="0" fontId="0" fillId="0" borderId="0" xfId="0"/>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164" fontId="6" fillId="0" borderId="2" xfId="1" applyNumberFormat="1" applyFont="1" applyBorder="1" applyAlignment="1" applyProtection="1">
      <alignment horizontal="center" vertical="center" wrapText="1"/>
      <protection locked="0"/>
    </xf>
    <xf numFmtId="164" fontId="3" fillId="2" borderId="2" xfId="1" applyNumberFormat="1" applyFont="1" applyFill="1" applyBorder="1" applyAlignment="1" applyProtection="1">
      <alignment horizontal="center" vertical="center" wrapText="1"/>
    </xf>
    <xf numFmtId="164" fontId="3" fillId="2" borderId="4"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164" fontId="6" fillId="0" borderId="2" xfId="1" applyFont="1" applyBorder="1" applyAlignment="1" applyProtection="1">
      <alignment vertical="center" wrapText="1"/>
      <protection locked="0"/>
    </xf>
    <xf numFmtId="0" fontId="3" fillId="2" borderId="6" xfId="0" applyFont="1" applyFill="1" applyBorder="1" applyAlignment="1" applyProtection="1">
      <alignment vertical="center" wrapText="1"/>
    </xf>
    <xf numFmtId="0" fontId="3" fillId="2" borderId="9" xfId="0" applyFont="1" applyFill="1" applyBorder="1" applyAlignment="1" applyProtection="1">
      <alignment vertical="center" wrapText="1"/>
    </xf>
    <xf numFmtId="164" fontId="3"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6" fillId="0" borderId="0" xfId="0" applyFont="1" applyBorder="1" applyAlignment="1">
      <alignment wrapText="1"/>
    </xf>
    <xf numFmtId="0" fontId="6" fillId="3" borderId="0" xfId="0" applyFont="1" applyFill="1" applyBorder="1" applyAlignment="1">
      <alignment wrapText="1"/>
    </xf>
    <xf numFmtId="0" fontId="6" fillId="0" borderId="0" xfId="0" applyFont="1" applyFill="1" applyBorder="1" applyAlignment="1">
      <alignment wrapText="1"/>
    </xf>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3" fillId="6" borderId="2" xfId="0" applyFont="1" applyFill="1" applyBorder="1" applyAlignment="1" applyProtection="1">
      <alignment vertical="center" wrapText="1"/>
    </xf>
    <xf numFmtId="0" fontId="6" fillId="6" borderId="2" xfId="0" applyFont="1" applyFill="1" applyBorder="1" applyAlignment="1" applyProtection="1">
      <alignment vertical="center" wrapText="1"/>
    </xf>
    <xf numFmtId="0" fontId="3" fillId="2" borderId="2" xfId="0"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64" fontId="3" fillId="2" borderId="2" xfId="1" applyFont="1" applyFill="1" applyBorder="1" applyAlignment="1" applyProtection="1">
      <alignment vertical="center" wrapText="1"/>
    </xf>
    <xf numFmtId="164" fontId="3" fillId="2" borderId="3" xfId="1" applyFont="1" applyFill="1" applyBorder="1" applyAlignment="1" applyProtection="1">
      <alignment vertical="center" wrapText="1"/>
    </xf>
    <xf numFmtId="164" fontId="3" fillId="2" borderId="10" xfId="1" applyFont="1" applyFill="1" applyBorder="1" applyAlignment="1" applyProtection="1">
      <alignment vertical="center" wrapText="1"/>
    </xf>
    <xf numFmtId="9" fontId="3" fillId="2" borderId="11" xfId="2" applyFont="1" applyFill="1" applyBorder="1" applyAlignment="1" applyProtection="1">
      <alignment vertical="center" wrapText="1"/>
    </xf>
    <xf numFmtId="0" fontId="4" fillId="2" borderId="13" xfId="0" applyFont="1" applyFill="1" applyBorder="1" applyAlignment="1" applyProtection="1">
      <alignment horizontal="left" vertical="center" wrapText="1"/>
    </xf>
    <xf numFmtId="164" fontId="3" fillId="2" borderId="12" xfId="0" applyNumberFormat="1" applyFont="1" applyFill="1" applyBorder="1" applyAlignment="1" applyProtection="1">
      <alignment vertical="center" wrapText="1"/>
    </xf>
    <xf numFmtId="0" fontId="4" fillId="2" borderId="6" xfId="0" applyFont="1" applyFill="1" applyBorder="1" applyAlignment="1" applyProtection="1">
      <alignment horizontal="left" vertical="center" wrapText="1"/>
    </xf>
    <xf numFmtId="164" fontId="3" fillId="2" borderId="7" xfId="2" applyNumberFormat="1" applyFont="1" applyFill="1" applyBorder="1" applyAlignment="1" applyProtection="1">
      <alignment wrapText="1"/>
    </xf>
    <xf numFmtId="164" fontId="3" fillId="2" borderId="2" xfId="1" applyFont="1" applyFill="1" applyBorder="1" applyAlignment="1" applyProtection="1">
      <alignment horizontal="center" vertical="center" wrapText="1"/>
    </xf>
    <xf numFmtId="164" fontId="6" fillId="2" borderId="2" xfId="1" applyFont="1" applyFill="1" applyBorder="1" applyAlignment="1" applyProtection="1">
      <alignment vertical="center" wrapText="1"/>
    </xf>
    <xf numFmtId="0" fontId="6" fillId="2" borderId="6" xfId="0" applyFont="1" applyFill="1" applyBorder="1" applyAlignment="1" applyProtection="1">
      <alignment vertical="center" wrapText="1"/>
    </xf>
    <xf numFmtId="164" fontId="6" fillId="2" borderId="7" xfId="0" applyNumberFormat="1" applyFont="1" applyFill="1" applyBorder="1" applyAlignment="1" applyProtection="1">
      <alignment vertical="center" wrapText="1"/>
    </xf>
    <xf numFmtId="164" fontId="3" fillId="2" borderId="11" xfId="1" applyFont="1" applyFill="1" applyBorder="1" applyAlignment="1" applyProtection="1">
      <alignment vertical="center" wrapText="1"/>
    </xf>
    <xf numFmtId="0" fontId="6" fillId="3" borderId="1"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xf>
    <xf numFmtId="0" fontId="3" fillId="4" borderId="2"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164" fontId="3" fillId="2" borderId="20" xfId="1" applyFont="1" applyFill="1" applyBorder="1" applyAlignment="1" applyProtection="1">
      <alignment vertical="center" wrapText="1"/>
    </xf>
    <xf numFmtId="9" fontId="6" fillId="0" borderId="2" xfId="2" applyFont="1" applyBorder="1" applyAlignment="1" applyProtection="1">
      <alignment horizontal="center" vertical="center" wrapText="1"/>
      <protection locked="0"/>
    </xf>
    <xf numFmtId="9" fontId="6" fillId="0" borderId="2" xfId="2" applyFont="1" applyBorder="1" applyAlignment="1" applyProtection="1">
      <alignment vertical="center" wrapText="1"/>
      <protection locked="0"/>
    </xf>
    <xf numFmtId="164" fontId="6" fillId="2" borderId="2" xfId="1" applyNumberFormat="1" applyFont="1" applyFill="1" applyBorder="1" applyAlignment="1" applyProtection="1">
      <alignment horizontal="center" vertical="center" wrapText="1"/>
    </xf>
    <xf numFmtId="164" fontId="3" fillId="4" borderId="2" xfId="1" applyFont="1" applyFill="1" applyBorder="1" applyAlignment="1" applyProtection="1">
      <alignment vertical="center" wrapText="1"/>
    </xf>
    <xf numFmtId="9" fontId="3" fillId="3" borderId="7" xfId="2" applyFont="1" applyFill="1" applyBorder="1" applyAlignment="1" applyProtection="1">
      <alignment vertical="center" wrapText="1"/>
      <protection locked="0"/>
    </xf>
    <xf numFmtId="9" fontId="3" fillId="3" borderId="15" xfId="2" applyFont="1" applyFill="1" applyBorder="1" applyAlignment="1" applyProtection="1">
      <alignment vertical="center" wrapText="1"/>
      <protection locked="0"/>
    </xf>
    <xf numFmtId="9" fontId="3" fillId="3" borderId="15" xfId="2" applyFont="1" applyFill="1" applyBorder="1" applyAlignment="1" applyProtection="1">
      <alignment horizontal="right" vertical="center" wrapText="1"/>
      <protection locked="0"/>
    </xf>
    <xf numFmtId="9" fontId="0" fillId="0" borderId="0" xfId="2" applyFont="1"/>
    <xf numFmtId="10" fontId="3" fillId="2" borderId="7" xfId="2" applyNumberFormat="1" applyFont="1" applyFill="1" applyBorder="1" applyAlignment="1" applyProtection="1">
      <alignment wrapText="1"/>
    </xf>
    <xf numFmtId="164" fontId="6" fillId="0" borderId="2" xfId="1" applyFont="1" applyBorder="1" applyAlignment="1" applyProtection="1">
      <alignment horizontal="center" vertical="center" wrapText="1"/>
      <protection locked="0"/>
    </xf>
    <xf numFmtId="164" fontId="0" fillId="0" borderId="0" xfId="1" applyFont="1" applyBorder="1" applyAlignment="1">
      <alignment wrapText="1"/>
    </xf>
    <xf numFmtId="164" fontId="0" fillId="0" borderId="0" xfId="1" applyFont="1" applyFill="1" applyBorder="1" applyAlignment="1">
      <alignment wrapText="1"/>
    </xf>
    <xf numFmtId="164" fontId="11" fillId="0" borderId="0" xfId="1" applyFont="1" applyBorder="1" applyAlignment="1">
      <alignment wrapText="1"/>
    </xf>
    <xf numFmtId="164" fontId="9" fillId="3" borderId="0" xfId="1" applyFont="1" applyFill="1" applyBorder="1" applyAlignment="1">
      <alignment horizontal="left" wrapText="1"/>
    </xf>
    <xf numFmtId="0" fontId="2" fillId="2" borderId="6" xfId="0" applyFont="1" applyFill="1" applyBorder="1" applyAlignment="1" applyProtection="1">
      <alignment vertical="center" wrapText="1"/>
    </xf>
    <xf numFmtId="164" fontId="3" fillId="2" borderId="13" xfId="0" applyNumberFormat="1" applyFont="1" applyFill="1" applyBorder="1" applyAlignment="1">
      <alignment vertical="center" wrapText="1"/>
    </xf>
    <xf numFmtId="164" fontId="0" fillId="2" borderId="12" xfId="1" applyFont="1" applyFill="1" applyBorder="1" applyAlignment="1">
      <alignment vertical="center" wrapText="1"/>
    </xf>
    <xf numFmtId="0" fontId="0" fillId="2" borderId="9" xfId="0" applyFont="1" applyFill="1" applyBorder="1" applyAlignment="1">
      <alignment wrapText="1"/>
    </xf>
    <xf numFmtId="0" fontId="6" fillId="2" borderId="16" xfId="0" applyFont="1" applyFill="1" applyBorder="1" applyAlignment="1" applyProtection="1">
      <alignment horizontal="center" vertical="center" wrapText="1"/>
    </xf>
    <xf numFmtId="164" fontId="3" fillId="2" borderId="15" xfId="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164" fontId="3" fillId="2" borderId="2" xfId="1" applyFont="1" applyFill="1" applyBorder="1" applyAlignment="1" applyProtection="1">
      <alignment horizontal="center" vertical="center" wrapText="1"/>
      <protection locked="0"/>
    </xf>
    <xf numFmtId="164" fontId="3" fillId="0" borderId="2" xfId="1" applyFont="1" applyFill="1" applyBorder="1" applyAlignment="1" applyProtection="1">
      <alignment horizontal="center" vertical="center" wrapText="1"/>
    </xf>
    <xf numFmtId="0" fontId="17" fillId="0" borderId="0" xfId="3" applyFont="1"/>
    <xf numFmtId="43" fontId="17" fillId="0" borderId="0" xfId="4" applyFont="1"/>
    <xf numFmtId="0" fontId="17" fillId="10" borderId="0" xfId="3" applyFont="1" applyFill="1"/>
    <xf numFmtId="0" fontId="17" fillId="9" borderId="0" xfId="3" applyFont="1" applyFill="1"/>
    <xf numFmtId="0" fontId="16" fillId="11" borderId="0" xfId="3" applyFont="1" applyFill="1"/>
    <xf numFmtId="43" fontId="16" fillId="11" borderId="0" xfId="4" applyFont="1" applyFill="1"/>
    <xf numFmtId="0" fontId="1" fillId="0" borderId="0" xfId="3"/>
    <xf numFmtId="43" fontId="0" fillId="0" borderId="0" xfId="4" applyFont="1"/>
    <xf numFmtId="168" fontId="0" fillId="0" borderId="0" xfId="4" applyNumberFormat="1" applyFont="1"/>
    <xf numFmtId="0" fontId="23" fillId="0" borderId="0" xfId="3" applyFont="1"/>
    <xf numFmtId="0" fontId="17" fillId="0" borderId="0" xfId="3" applyFont="1" applyBorder="1"/>
    <xf numFmtId="0" fontId="17" fillId="0" borderId="0" xfId="3" applyFont="1" applyFill="1"/>
    <xf numFmtId="43" fontId="17" fillId="0" borderId="0" xfId="4" applyFont="1" applyFill="1"/>
    <xf numFmtId="0" fontId="24" fillId="0" borderId="0" xfId="3" applyFont="1"/>
    <xf numFmtId="167" fontId="17" fillId="11" borderId="2" xfId="4" applyNumberFormat="1" applyFont="1" applyFill="1" applyBorder="1"/>
    <xf numFmtId="0" fontId="17" fillId="0" borderId="2" xfId="3" applyFont="1" applyBorder="1"/>
    <xf numFmtId="0" fontId="20" fillId="11" borderId="6" xfId="3" applyFont="1" applyFill="1" applyBorder="1" applyAlignment="1">
      <alignment vertical="top" wrapText="1"/>
    </xf>
    <xf numFmtId="43" fontId="17" fillId="11" borderId="7" xfId="4" applyFont="1" applyFill="1" applyBorder="1"/>
    <xf numFmtId="0" fontId="17" fillId="0" borderId="6" xfId="3" quotePrefix="1" applyFont="1" applyBorder="1" applyAlignment="1">
      <alignment horizontal="left" vertical="center" wrapText="1"/>
    </xf>
    <xf numFmtId="43" fontId="17" fillId="0" borderId="7" xfId="4" applyFont="1" applyBorder="1"/>
    <xf numFmtId="0" fontId="0" fillId="0" borderId="6" xfId="0" quotePrefix="1" applyFill="1" applyBorder="1" applyAlignment="1">
      <alignment wrapText="1"/>
    </xf>
    <xf numFmtId="0" fontId="17" fillId="0" borderId="6" xfId="3" applyFont="1" applyBorder="1" applyAlignment="1">
      <alignment horizontal="left" vertical="center" wrapText="1"/>
    </xf>
    <xf numFmtId="0" fontId="20" fillId="11" borderId="6" xfId="3" applyFont="1" applyFill="1" applyBorder="1" applyAlignment="1">
      <alignment wrapText="1"/>
    </xf>
    <xf numFmtId="0" fontId="17" fillId="0" borderId="6" xfId="3" applyFont="1" applyBorder="1" applyAlignment="1">
      <alignment vertical="top" wrapText="1"/>
    </xf>
    <xf numFmtId="0" fontId="17" fillId="0" borderId="6" xfId="3" applyFont="1" applyBorder="1" applyAlignment="1">
      <alignment wrapText="1"/>
    </xf>
    <xf numFmtId="0" fontId="26" fillId="13" borderId="13" xfId="3" applyFont="1" applyFill="1" applyBorder="1" applyAlignment="1">
      <alignment horizontal="center" vertical="center" wrapText="1"/>
    </xf>
    <xf numFmtId="0" fontId="26" fillId="13" borderId="14" xfId="3" applyFont="1" applyFill="1" applyBorder="1" applyAlignment="1">
      <alignment horizontal="center" vertical="top"/>
    </xf>
    <xf numFmtId="43" fontId="26" fillId="13" borderId="12" xfId="4" applyFont="1" applyFill="1" applyBorder="1" applyAlignment="1">
      <alignment horizontal="center" vertical="top" wrapText="1"/>
    </xf>
    <xf numFmtId="10" fontId="17" fillId="0" borderId="0" xfId="2" applyNumberFormat="1" applyFont="1"/>
    <xf numFmtId="10" fontId="17" fillId="11" borderId="2" xfId="3" applyNumberFormat="1" applyFont="1" applyFill="1" applyBorder="1"/>
    <xf numFmtId="10" fontId="17" fillId="0" borderId="2" xfId="3" applyNumberFormat="1" applyFont="1" applyBorder="1"/>
    <xf numFmtId="167" fontId="17" fillId="0" borderId="2" xfId="4" applyNumberFormat="1" applyFont="1" applyFill="1" applyBorder="1"/>
    <xf numFmtId="0" fontId="20" fillId="11" borderId="6" xfId="3" applyFont="1" applyFill="1" applyBorder="1" applyAlignment="1">
      <alignment horizontal="left" wrapText="1"/>
    </xf>
    <xf numFmtId="166" fontId="17" fillId="0" borderId="0" xfId="3" applyNumberFormat="1" applyFont="1"/>
    <xf numFmtId="0" fontId="17" fillId="0" borderId="0" xfId="3" applyFont="1" applyFill="1" applyBorder="1"/>
    <xf numFmtId="43" fontId="17" fillId="0" borderId="0" xfId="4" applyFont="1" applyFill="1" applyBorder="1"/>
    <xf numFmtId="0" fontId="7" fillId="0" borderId="0" xfId="0" applyFont="1" applyFill="1" applyBorder="1" applyAlignment="1" applyProtection="1">
      <alignment vertical="center" wrapText="1"/>
    </xf>
    <xf numFmtId="0" fontId="17" fillId="0" borderId="0" xfId="0" applyFont="1" applyFill="1" applyBorder="1"/>
    <xf numFmtId="0" fontId="17" fillId="0" borderId="0" xfId="0" applyFont="1" applyFill="1" applyBorder="1" applyAlignment="1">
      <alignment wrapText="1"/>
    </xf>
    <xf numFmtId="0" fontId="17" fillId="0" borderId="0" xfId="0" applyFont="1" applyFill="1" applyBorder="1" applyAlignment="1">
      <alignment horizontal="center"/>
    </xf>
    <xf numFmtId="169" fontId="17" fillId="0" borderId="0" xfId="0" applyNumberFormat="1" applyFont="1" applyFill="1" applyBorder="1"/>
    <xf numFmtId="0" fontId="17" fillId="0" borderId="0" xfId="0" applyFont="1" applyFill="1" applyBorder="1" applyAlignment="1">
      <alignment horizontal="left" vertical="top" wrapText="1" indent="3"/>
    </xf>
    <xf numFmtId="0" fontId="17" fillId="0" borderId="0" xfId="0" quotePrefix="1" applyFont="1" applyFill="1" applyBorder="1" applyAlignment="1">
      <alignment horizontal="left" vertical="top" wrapText="1" indent="3"/>
    </xf>
    <xf numFmtId="0" fontId="7" fillId="0" borderId="0" xfId="0" applyFont="1" applyFill="1" applyBorder="1" applyAlignment="1" applyProtection="1">
      <alignment vertical="center" wrapText="1"/>
      <protection locked="0"/>
    </xf>
    <xf numFmtId="164" fontId="3" fillId="0" borderId="0" xfId="1" applyFont="1" applyFill="1" applyBorder="1" applyAlignment="1" applyProtection="1">
      <alignment wrapText="1"/>
    </xf>
    <xf numFmtId="43" fontId="17" fillId="0" borderId="6" xfId="4" applyFont="1" applyFill="1" applyBorder="1" applyAlignment="1">
      <alignment vertical="top" wrapText="1"/>
    </xf>
    <xf numFmtId="0" fontId="17" fillId="0" borderId="2" xfId="3" applyFont="1" applyFill="1" applyBorder="1"/>
    <xf numFmtId="166" fontId="24" fillId="0" borderId="0" xfId="6" applyFont="1"/>
    <xf numFmtId="166" fontId="29" fillId="0" borderId="0" xfId="6" applyFont="1" applyFill="1" applyBorder="1"/>
    <xf numFmtId="166" fontId="24" fillId="0" borderId="0" xfId="3" applyNumberFormat="1" applyFont="1"/>
    <xf numFmtId="170" fontId="17" fillId="11" borderId="2" xfId="6" applyNumberFormat="1" applyFont="1" applyFill="1" applyBorder="1"/>
    <xf numFmtId="167" fontId="17" fillId="11" borderId="2" xfId="3" applyNumberFormat="1" applyFont="1" applyFill="1" applyBorder="1"/>
    <xf numFmtId="167" fontId="17" fillId="0" borderId="2" xfId="3" applyNumberFormat="1" applyFont="1" applyBorder="1"/>
    <xf numFmtId="171" fontId="17" fillId="0" borderId="0" xfId="3" applyNumberFormat="1" applyFont="1"/>
    <xf numFmtId="0" fontId="30" fillId="0" borderId="6" xfId="3" applyFont="1" applyBorder="1" applyAlignment="1">
      <alignment horizontal="center" vertical="center" wrapText="1"/>
    </xf>
    <xf numFmtId="0" fontId="30" fillId="0" borderId="2" xfId="3" applyFont="1" applyBorder="1" applyAlignment="1">
      <alignment horizontal="center" vertical="top"/>
    </xf>
    <xf numFmtId="170" fontId="30" fillId="0" borderId="2" xfId="3" applyNumberFormat="1" applyFont="1" applyBorder="1" applyAlignment="1">
      <alignment horizontal="center" vertical="top"/>
    </xf>
    <xf numFmtId="167" fontId="30" fillId="0" borderId="2" xfId="3" applyNumberFormat="1" applyFont="1" applyBorder="1" applyAlignment="1">
      <alignment horizontal="center" vertical="top"/>
    </xf>
    <xf numFmtId="0" fontId="30" fillId="12" borderId="9" xfId="3" applyFont="1" applyFill="1" applyBorder="1" applyAlignment="1">
      <alignment horizontal="center" vertical="center" wrapText="1"/>
    </xf>
    <xf numFmtId="0" fontId="30" fillId="12" borderId="10" xfId="3" applyFont="1" applyFill="1" applyBorder="1" applyAlignment="1">
      <alignment horizontal="center" vertical="top"/>
    </xf>
    <xf numFmtId="0" fontId="24" fillId="0" borderId="0" xfId="3" applyFont="1" applyFill="1"/>
    <xf numFmtId="170" fontId="17" fillId="0" borderId="2" xfId="6" applyNumberFormat="1" applyFont="1" applyBorder="1"/>
    <xf numFmtId="166" fontId="30" fillId="12" borderId="10" xfId="6" applyFont="1" applyFill="1" applyBorder="1" applyAlignment="1">
      <alignment horizontal="center" vertical="top"/>
    </xf>
    <xf numFmtId="166" fontId="17" fillId="0" borderId="0" xfId="6" applyFont="1" applyFill="1" applyBorder="1"/>
    <xf numFmtId="166" fontId="17" fillId="0" borderId="0" xfId="0" applyNumberFormat="1" applyFont="1" applyFill="1" applyBorder="1"/>
    <xf numFmtId="166" fontId="17" fillId="0" borderId="0" xfId="3" applyNumberFormat="1" applyFont="1" applyFill="1" applyBorder="1"/>
    <xf numFmtId="172" fontId="17" fillId="0" borderId="0" xfId="0" applyNumberFormat="1" applyFont="1" applyFill="1" applyBorder="1"/>
    <xf numFmtId="0" fontId="19" fillId="13" borderId="6" xfId="3" applyFont="1" applyFill="1" applyBorder="1" applyAlignment="1">
      <alignment vertical="top" wrapText="1"/>
    </xf>
    <xf numFmtId="10" fontId="17" fillId="13" borderId="2" xfId="3" applyNumberFormat="1" applyFont="1" applyFill="1" applyBorder="1"/>
    <xf numFmtId="167" fontId="33" fillId="13" borderId="2" xfId="4" applyNumberFormat="1" applyFont="1" applyFill="1" applyBorder="1"/>
    <xf numFmtId="167" fontId="26" fillId="13" borderId="2" xfId="3" applyNumberFormat="1" applyFont="1" applyFill="1" applyBorder="1"/>
    <xf numFmtId="43" fontId="26" fillId="13" borderId="7" xfId="4" applyFont="1" applyFill="1" applyBorder="1"/>
    <xf numFmtId="10" fontId="26" fillId="13" borderId="2" xfId="3" applyNumberFormat="1" applyFont="1" applyFill="1" applyBorder="1"/>
    <xf numFmtId="0" fontId="20" fillId="13" borderId="6" xfId="3" applyFont="1" applyFill="1" applyBorder="1" applyAlignment="1">
      <alignment vertical="top" wrapText="1"/>
    </xf>
    <xf numFmtId="167" fontId="33" fillId="13" borderId="2" xfId="3" applyNumberFormat="1" applyFont="1" applyFill="1" applyBorder="1"/>
    <xf numFmtId="167" fontId="33" fillId="13" borderId="7" xfId="3" applyNumberFormat="1" applyFont="1" applyFill="1" applyBorder="1"/>
    <xf numFmtId="167" fontId="17" fillId="11" borderId="7" xfId="3" applyNumberFormat="1" applyFont="1" applyFill="1" applyBorder="1"/>
    <xf numFmtId="167" fontId="30" fillId="0" borderId="7" xfId="3" applyNumberFormat="1" applyFont="1" applyBorder="1" applyAlignment="1">
      <alignment horizontal="center" vertical="top"/>
    </xf>
    <xf numFmtId="167" fontId="26" fillId="13" borderId="7" xfId="3" applyNumberFormat="1" applyFont="1" applyFill="1" applyBorder="1"/>
    <xf numFmtId="167" fontId="17" fillId="11" borderId="7" xfId="4" applyNumberFormat="1" applyFont="1" applyFill="1" applyBorder="1"/>
    <xf numFmtId="170" fontId="17" fillId="11" borderId="7" xfId="6" applyNumberFormat="1" applyFont="1" applyFill="1" applyBorder="1"/>
    <xf numFmtId="166" fontId="30" fillId="12" borderId="11" xfId="6" applyFont="1" applyFill="1" applyBorder="1" applyAlignment="1">
      <alignment horizontal="center" vertical="top"/>
    </xf>
    <xf numFmtId="0" fontId="17" fillId="0" borderId="2" xfId="0" applyFont="1" applyFill="1" applyBorder="1" applyAlignment="1">
      <alignment horizontal="center"/>
    </xf>
    <xf numFmtId="0" fontId="25" fillId="0" borderId="4" xfId="3" applyFont="1" applyFill="1" applyBorder="1" applyAlignment="1">
      <alignment horizontal="center" vertical="top"/>
    </xf>
    <xf numFmtId="0" fontId="31" fillId="0" borderId="13" xfId="0" applyFont="1" applyFill="1" applyBorder="1" applyAlignment="1" applyProtection="1">
      <alignment vertical="center" wrapText="1"/>
    </xf>
    <xf numFmtId="0" fontId="17" fillId="0" borderId="14" xfId="3" applyFont="1" applyFill="1" applyBorder="1"/>
    <xf numFmtId="0" fontId="32" fillId="0" borderId="6" xfId="0" applyFont="1" applyFill="1" applyBorder="1" applyAlignment="1">
      <alignment wrapText="1"/>
    </xf>
    <xf numFmtId="0" fontId="33" fillId="0" borderId="9" xfId="0" applyFont="1" applyFill="1" applyBorder="1" applyAlignment="1">
      <alignment horizontal="left" vertical="top" wrapText="1" indent="3"/>
    </xf>
    <xf numFmtId="0" fontId="26" fillId="0" borderId="10" xfId="0" applyFont="1" applyFill="1" applyBorder="1" applyAlignment="1">
      <alignment horizontal="center"/>
    </xf>
    <xf numFmtId="170" fontId="26" fillId="0" borderId="10" xfId="6" applyNumberFormat="1" applyFont="1" applyFill="1" applyBorder="1"/>
    <xf numFmtId="170" fontId="26" fillId="0" borderId="11" xfId="6" applyNumberFormat="1" applyFont="1" applyFill="1" applyBorder="1"/>
    <xf numFmtId="170" fontId="34" fillId="0" borderId="14" xfId="6" applyNumberFormat="1" applyFont="1" applyFill="1" applyBorder="1"/>
    <xf numFmtId="170" fontId="34" fillId="0" borderId="12" xfId="6" applyNumberFormat="1" applyFont="1" applyFill="1" applyBorder="1"/>
    <xf numFmtId="170" fontId="34" fillId="0" borderId="2" xfId="6" applyNumberFormat="1" applyFont="1" applyFill="1" applyBorder="1"/>
    <xf numFmtId="170" fontId="34" fillId="0" borderId="7" xfId="6" applyNumberFormat="1" applyFont="1" applyFill="1" applyBorder="1"/>
    <xf numFmtId="10" fontId="17" fillId="0" borderId="0" xfId="2" applyNumberFormat="1" applyFont="1" applyFill="1" applyBorder="1"/>
    <xf numFmtId="0" fontId="2" fillId="0" borderId="2" xfId="0" applyFont="1" applyBorder="1" applyAlignment="1" applyProtection="1">
      <alignment horizontal="left" vertical="top" wrapText="1"/>
      <protection locked="0"/>
    </xf>
    <xf numFmtId="0" fontId="17" fillId="14" borderId="0" xfId="3" applyFont="1" applyFill="1"/>
    <xf numFmtId="0" fontId="17" fillId="15" borderId="0" xfId="3" applyFont="1" applyFill="1"/>
    <xf numFmtId="0" fontId="17" fillId="16" borderId="0" xfId="3" applyFont="1" applyFill="1"/>
    <xf numFmtId="0" fontId="17" fillId="2" borderId="0" xfId="3" applyFont="1" applyFill="1"/>
    <xf numFmtId="0" fontId="30" fillId="0" borderId="16" xfId="3" applyFont="1" applyBorder="1" applyAlignment="1">
      <alignment horizontal="center" vertical="center" wrapText="1"/>
    </xf>
    <xf numFmtId="0" fontId="30" fillId="0" borderId="4" xfId="3" applyFont="1" applyBorder="1" applyAlignment="1">
      <alignment horizontal="center" vertical="top"/>
    </xf>
    <xf numFmtId="167" fontId="30" fillId="0" borderId="4" xfId="3" applyNumberFormat="1" applyFont="1" applyBorder="1" applyAlignment="1">
      <alignment horizontal="center" vertical="top"/>
    </xf>
    <xf numFmtId="0" fontId="19" fillId="13" borderId="13" xfId="3" applyFont="1" applyFill="1" applyBorder="1" applyAlignment="1">
      <alignment vertical="top" wrapText="1"/>
    </xf>
    <xf numFmtId="10" fontId="17" fillId="13" borderId="14" xfId="3" applyNumberFormat="1" applyFont="1" applyFill="1" applyBorder="1"/>
    <xf numFmtId="167" fontId="26" fillId="13" borderId="14" xfId="3" applyNumberFormat="1" applyFont="1" applyFill="1" applyBorder="1"/>
    <xf numFmtId="167" fontId="33" fillId="13" borderId="7" xfId="4" applyNumberFormat="1" applyFont="1" applyFill="1" applyBorder="1"/>
    <xf numFmtId="0" fontId="17" fillId="0" borderId="8" xfId="3" applyFont="1" applyBorder="1" applyAlignment="1">
      <alignment vertical="top" wrapText="1"/>
    </xf>
    <xf numFmtId="43" fontId="17" fillId="0" borderId="26" xfId="4" applyFont="1" applyBorder="1"/>
    <xf numFmtId="0" fontId="17" fillId="17" borderId="0" xfId="3" applyFont="1" applyFill="1"/>
    <xf numFmtId="0" fontId="18" fillId="0" borderId="0" xfId="3" applyFont="1"/>
    <xf numFmtId="0" fontId="17" fillId="10" borderId="0" xfId="3" applyFont="1" applyFill="1" applyAlignment="1">
      <alignment shrinkToFit="1"/>
    </xf>
    <xf numFmtId="0" fontId="17" fillId="3" borderId="0" xfId="3" applyFont="1" applyFill="1"/>
    <xf numFmtId="0" fontId="35" fillId="18" borderId="0" xfId="3" applyFont="1" applyFill="1"/>
    <xf numFmtId="0" fontId="17" fillId="18" borderId="0" xfId="3" applyFont="1" applyFill="1"/>
    <xf numFmtId="172" fontId="17" fillId="0" borderId="0" xfId="6" applyNumberFormat="1" applyFont="1" applyFill="1" applyBorder="1"/>
    <xf numFmtId="43" fontId="17" fillId="0" borderId="2" xfId="4" applyNumberFormat="1" applyFont="1" applyFill="1" applyBorder="1"/>
    <xf numFmtId="43" fontId="17" fillId="0" borderId="4" xfId="4" applyNumberFormat="1" applyFont="1" applyFill="1" applyBorder="1"/>
    <xf numFmtId="43" fontId="17" fillId="0" borderId="7" xfId="4" applyNumberFormat="1" applyFont="1" applyFill="1" applyBorder="1"/>
    <xf numFmtId="43" fontId="17" fillId="0" borderId="15" xfId="4" applyNumberFormat="1" applyFont="1" applyFill="1" applyBorder="1"/>
    <xf numFmtId="166" fontId="36" fillId="7" borderId="14" xfId="6" applyFont="1" applyFill="1" applyBorder="1" applyAlignment="1">
      <alignment vertical="center" wrapText="1"/>
    </xf>
    <xf numFmtId="0" fontId="38" fillId="0" borderId="12" xfId="0" applyFont="1" applyBorder="1" applyAlignment="1">
      <alignment vertical="center" wrapText="1"/>
    </xf>
    <xf numFmtId="0" fontId="0" fillId="0" borderId="2" xfId="0" applyFont="1" applyBorder="1" applyAlignment="1">
      <alignment wrapText="1"/>
    </xf>
    <xf numFmtId="0" fontId="0" fillId="3" borderId="2" xfId="0" applyFont="1" applyFill="1" applyBorder="1" applyAlignment="1">
      <alignment wrapText="1"/>
    </xf>
    <xf numFmtId="164" fontId="0" fillId="0" borderId="0" xfId="0" applyNumberFormat="1"/>
    <xf numFmtId="0" fontId="1" fillId="0" borderId="0" xfId="0" applyFont="1" applyAlignment="1">
      <alignment vertical="center"/>
    </xf>
    <xf numFmtId="0" fontId="39" fillId="0" borderId="0" xfId="0" applyFont="1" applyAlignment="1">
      <alignment horizontal="right" vertical="center" wrapText="1"/>
    </xf>
    <xf numFmtId="164" fontId="39" fillId="3" borderId="2" xfId="0" applyNumberFormat="1" applyFont="1" applyFill="1" applyBorder="1" applyAlignment="1">
      <alignment vertical="center" wrapText="1"/>
    </xf>
    <xf numFmtId="166" fontId="39" fillId="3" borderId="2" xfId="6" applyFont="1" applyFill="1" applyBorder="1" applyAlignment="1">
      <alignment vertical="center" wrapText="1"/>
    </xf>
    <xf numFmtId="10" fontId="39" fillId="3" borderId="2" xfId="2" applyNumberFormat="1" applyFont="1" applyFill="1" applyBorder="1" applyAlignment="1">
      <alignment vertical="center" wrapText="1"/>
    </xf>
    <xf numFmtId="10" fontId="0" fillId="0" borderId="0" xfId="2" applyNumberFormat="1" applyFont="1"/>
    <xf numFmtId="0" fontId="16" fillId="11" borderId="2" xfId="0" applyFont="1" applyFill="1" applyBorder="1" applyAlignment="1">
      <alignment horizontal="center" vertical="center"/>
    </xf>
    <xf numFmtId="166" fontId="16" fillId="11" borderId="2" xfId="6" applyFont="1" applyFill="1" applyBorder="1" applyAlignment="1">
      <alignment horizontal="center" vertical="center" wrapText="1"/>
    </xf>
    <xf numFmtId="164" fontId="2" fillId="0" borderId="2" xfId="1" applyFont="1" applyBorder="1" applyAlignment="1" applyProtection="1">
      <alignment vertical="center" wrapText="1"/>
      <protection locked="0"/>
    </xf>
    <xf numFmtId="164" fontId="3" fillId="3" borderId="2" xfId="0" applyNumberFormat="1" applyFont="1" applyFill="1" applyBorder="1" applyAlignment="1" applyProtection="1">
      <alignment vertical="center" wrapText="1"/>
      <protection locked="0"/>
    </xf>
    <xf numFmtId="164" fontId="6" fillId="2" borderId="14" xfId="0" applyNumberFormat="1" applyFont="1" applyFill="1" applyBorder="1" applyAlignment="1" applyProtection="1">
      <alignment vertical="center" wrapText="1"/>
    </xf>
    <xf numFmtId="10" fontId="0" fillId="2" borderId="11" xfId="2" applyNumberFormat="1" applyFont="1" applyFill="1" applyBorder="1" applyAlignment="1">
      <alignment wrapText="1"/>
    </xf>
    <xf numFmtId="173" fontId="39" fillId="3" borderId="2" xfId="0" applyNumberFormat="1" applyFont="1" applyFill="1" applyBorder="1" applyAlignment="1">
      <alignment vertical="center" wrapText="1"/>
    </xf>
    <xf numFmtId="170" fontId="39" fillId="3" borderId="2" xfId="6" applyNumberFormat="1" applyFont="1" applyFill="1" applyBorder="1" applyAlignment="1">
      <alignment vertical="center" wrapText="1"/>
    </xf>
    <xf numFmtId="164" fontId="3" fillId="2" borderId="2" xfId="0" applyNumberFormat="1" applyFont="1" applyFill="1" applyBorder="1" applyAlignment="1" applyProtection="1">
      <alignment vertical="center" wrapText="1"/>
    </xf>
    <xf numFmtId="0" fontId="4" fillId="0" borderId="0" xfId="0" applyFont="1" applyBorder="1" applyAlignment="1">
      <alignment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21" borderId="0" xfId="0" applyFont="1" applyFill="1" applyAlignment="1">
      <alignment horizontal="left" wrapText="1"/>
    </xf>
    <xf numFmtId="164" fontId="44" fillId="22" borderId="2" xfId="1" applyFont="1" applyFill="1" applyBorder="1" applyAlignment="1" applyProtection="1">
      <alignment horizontal="center" vertical="center" wrapText="1"/>
      <protection locked="0"/>
    </xf>
    <xf numFmtId="0" fontId="44" fillId="22" borderId="4" xfId="0" applyFont="1" applyFill="1" applyBorder="1" applyAlignment="1">
      <alignment horizontal="center" vertical="center" wrapText="1"/>
    </xf>
    <xf numFmtId="0" fontId="44" fillId="22" borderId="10" xfId="0" applyFont="1" applyFill="1" applyBorder="1" applyAlignment="1">
      <alignment horizontal="left" wrapText="1"/>
    </xf>
    <xf numFmtId="164" fontId="44" fillId="22" borderId="10" xfId="0" applyNumberFormat="1" applyFont="1" applyFill="1" applyBorder="1" applyAlignment="1">
      <alignment horizontal="center" wrapText="1"/>
    </xf>
    <xf numFmtId="164" fontId="44" fillId="22" borderId="2" xfId="0" applyNumberFormat="1" applyFont="1" applyFill="1" applyBorder="1" applyAlignment="1">
      <alignment wrapText="1"/>
    </xf>
    <xf numFmtId="164" fontId="41" fillId="22" borderId="2" xfId="0" applyNumberFormat="1" applyFont="1" applyFill="1" applyBorder="1" applyAlignment="1">
      <alignment wrapText="1"/>
    </xf>
    <xf numFmtId="0" fontId="41" fillId="22" borderId="19" xfId="0" applyFont="1" applyFill="1" applyBorder="1" applyAlignment="1">
      <alignment vertical="center" wrapText="1"/>
    </xf>
    <xf numFmtId="164" fontId="41" fillId="0" borderId="19" xfId="0" applyNumberFormat="1" applyFont="1" applyBorder="1" applyAlignment="1" applyProtection="1">
      <alignment wrapText="1"/>
      <protection locked="0"/>
    </xf>
    <xf numFmtId="164" fontId="41" fillId="0" borderId="2" xfId="0" applyNumberFormat="1" applyFont="1" applyBorder="1" applyAlignment="1">
      <alignment wrapText="1"/>
    </xf>
    <xf numFmtId="0" fontId="41" fillId="22" borderId="2" xfId="0" applyFont="1" applyFill="1" applyBorder="1" applyAlignment="1">
      <alignment vertical="center" wrapText="1"/>
    </xf>
    <xf numFmtId="164" fontId="41" fillId="0" borderId="2" xfId="0" applyNumberFormat="1" applyFont="1" applyBorder="1" applyAlignment="1" applyProtection="1">
      <alignment wrapText="1"/>
      <protection locked="0"/>
    </xf>
    <xf numFmtId="0" fontId="41" fillId="22" borderId="2" xfId="0" applyFont="1" applyFill="1" applyBorder="1" applyAlignment="1" applyProtection="1">
      <alignment vertical="center" wrapText="1"/>
      <protection locked="0"/>
    </xf>
    <xf numFmtId="164" fontId="44" fillId="23" borderId="2" xfId="1" applyFont="1" applyFill="1" applyBorder="1" applyAlignment="1" applyProtection="1">
      <alignment wrapText="1"/>
    </xf>
    <xf numFmtId="164" fontId="44" fillId="23" borderId="2" xfId="1" applyFont="1" applyFill="1" applyBorder="1" applyAlignment="1">
      <alignment wrapText="1"/>
    </xf>
    <xf numFmtId="0" fontId="41" fillId="21" borderId="0" xfId="0" applyFont="1" applyFill="1" applyAlignment="1">
      <alignment wrapText="1"/>
    </xf>
    <xf numFmtId="164" fontId="44" fillId="21" borderId="35" xfId="1" applyFont="1" applyFill="1" applyBorder="1" applyAlignment="1">
      <alignment wrapText="1"/>
    </xf>
    <xf numFmtId="164" fontId="44" fillId="21" borderId="24" xfId="0" applyNumberFormat="1" applyFont="1" applyFill="1" applyBorder="1" applyAlignment="1">
      <alignment wrapText="1"/>
    </xf>
    <xf numFmtId="0" fontId="41" fillId="0" borderId="2" xfId="0" applyFont="1" applyBorder="1" applyAlignment="1">
      <alignment wrapText="1"/>
    </xf>
    <xf numFmtId="164" fontId="44" fillId="21" borderId="36" xfId="1" applyFont="1" applyFill="1" applyBorder="1" applyAlignment="1">
      <alignment wrapText="1"/>
    </xf>
    <xf numFmtId="0" fontId="44" fillId="22" borderId="38" xfId="0" applyFont="1" applyFill="1" applyBorder="1" applyAlignment="1">
      <alignment horizontal="left" wrapText="1"/>
    </xf>
    <xf numFmtId="164" fontId="44" fillId="22" borderId="38" xfId="0" applyNumberFormat="1" applyFont="1" applyFill="1" applyBorder="1" applyAlignment="1">
      <alignment horizontal="center" wrapText="1"/>
    </xf>
    <xf numFmtId="164" fontId="44" fillId="22" borderId="38" xfId="0" applyNumberFormat="1" applyFont="1" applyFill="1" applyBorder="1" applyAlignment="1">
      <alignment wrapText="1"/>
    </xf>
    <xf numFmtId="164" fontId="44" fillId="22" borderId="10" xfId="0" applyNumberFormat="1" applyFont="1" applyFill="1" applyBorder="1" applyAlignment="1">
      <alignment wrapText="1"/>
    </xf>
    <xf numFmtId="0" fontId="41" fillId="22" borderId="0" xfId="0" applyFont="1" applyFill="1" applyAlignment="1">
      <alignment wrapText="1"/>
    </xf>
    <xf numFmtId="164" fontId="44" fillId="22" borderId="19" xfId="0" applyNumberFormat="1" applyFont="1" applyFill="1" applyBorder="1" applyAlignment="1">
      <alignment wrapText="1"/>
    </xf>
    <xf numFmtId="164" fontId="44" fillId="21" borderId="39" xfId="0" applyNumberFormat="1" applyFont="1" applyFill="1" applyBorder="1" applyAlignment="1">
      <alignment wrapText="1"/>
    </xf>
    <xf numFmtId="164" fontId="44" fillId="21" borderId="1" xfId="0" applyNumberFormat="1" applyFont="1" applyFill="1" applyBorder="1" applyAlignment="1">
      <alignment wrapText="1"/>
    </xf>
    <xf numFmtId="0" fontId="41" fillId="22" borderId="2" xfId="0" applyFont="1" applyFill="1" applyBorder="1" applyAlignment="1">
      <alignment wrapText="1"/>
    </xf>
    <xf numFmtId="0" fontId="44" fillId="22" borderId="8" xfId="0" applyFont="1" applyFill="1" applyBorder="1" applyAlignment="1">
      <alignment horizontal="center" wrapText="1"/>
    </xf>
    <xf numFmtId="0" fontId="44" fillId="22" borderId="34" xfId="0" applyFont="1" applyFill="1" applyBorder="1" applyAlignment="1">
      <alignment horizontal="center" vertical="center" wrapText="1"/>
    </xf>
    <xf numFmtId="0" fontId="44" fillId="22" borderId="42" xfId="0" applyFont="1" applyFill="1" applyBorder="1" applyAlignment="1">
      <alignment vertical="center" wrapText="1"/>
    </xf>
    <xf numFmtId="0" fontId="44" fillId="22" borderId="25" xfId="0" applyFont="1" applyFill="1" applyBorder="1" applyAlignment="1">
      <alignment vertical="center" wrapText="1"/>
    </xf>
    <xf numFmtId="164" fontId="41" fillId="22" borderId="19" xfId="0" applyNumberFormat="1" applyFont="1" applyFill="1" applyBorder="1" applyAlignment="1">
      <alignment wrapText="1"/>
    </xf>
    <xf numFmtId="164" fontId="44" fillId="22" borderId="3" xfId="0" applyNumberFormat="1" applyFont="1" applyFill="1" applyBorder="1" applyAlignment="1">
      <alignment wrapText="1"/>
    </xf>
    <xf numFmtId="0" fontId="44" fillId="22" borderId="25" xfId="0" applyFont="1" applyFill="1" applyBorder="1" applyAlignment="1" applyProtection="1">
      <alignment vertical="center" wrapText="1"/>
      <protection locked="0"/>
    </xf>
    <xf numFmtId="164" fontId="41" fillId="22" borderId="2" xfId="1" applyFont="1" applyFill="1" applyBorder="1" applyAlignment="1">
      <alignment wrapText="1"/>
    </xf>
    <xf numFmtId="164" fontId="41" fillId="22" borderId="3" xfId="0" applyNumberFormat="1" applyFont="1" applyFill="1" applyBorder="1" applyAlignment="1">
      <alignment wrapText="1"/>
    </xf>
    <xf numFmtId="0" fontId="41" fillId="22" borderId="6" xfId="0" applyFont="1" applyFill="1" applyBorder="1" applyAlignment="1">
      <alignment vertical="center" wrapText="1"/>
    </xf>
    <xf numFmtId="164" fontId="41" fillId="22" borderId="10" xfId="0" applyNumberFormat="1" applyFont="1" applyFill="1" applyBorder="1" applyAlignment="1">
      <alignment wrapText="1"/>
    </xf>
    <xf numFmtId="164" fontId="41" fillId="22" borderId="30" xfId="0" applyNumberFormat="1" applyFont="1" applyFill="1" applyBorder="1" applyAlignment="1">
      <alignment wrapText="1"/>
    </xf>
    <xf numFmtId="164" fontId="44" fillId="21" borderId="2" xfId="0" applyNumberFormat="1" applyFont="1" applyFill="1" applyBorder="1" applyAlignment="1">
      <alignment vertical="center" wrapText="1"/>
    </xf>
    <xf numFmtId="0" fontId="44" fillId="22" borderId="43" xfId="0" applyFont="1" applyFill="1" applyBorder="1" applyAlignment="1">
      <alignment wrapText="1"/>
    </xf>
    <xf numFmtId="164" fontId="44" fillId="22" borderId="44" xfId="0" applyNumberFormat="1" applyFont="1" applyFill="1" applyBorder="1" applyAlignment="1">
      <alignment wrapText="1"/>
    </xf>
    <xf numFmtId="164" fontId="44" fillId="24" borderId="2" xfId="0" applyNumberFormat="1" applyFont="1" applyFill="1" applyBorder="1" applyAlignment="1">
      <alignment vertical="center" wrapText="1"/>
    </xf>
    <xf numFmtId="0" fontId="45" fillId="0" borderId="0" xfId="0" applyFont="1"/>
    <xf numFmtId="0" fontId="41" fillId="0" borderId="0" xfId="0" applyFont="1"/>
    <xf numFmtId="0" fontId="44" fillId="22" borderId="19" xfId="0" applyFont="1" applyFill="1" applyBorder="1" applyAlignment="1">
      <alignment horizontal="center" wrapText="1"/>
    </xf>
    <xf numFmtId="0" fontId="44" fillId="22" borderId="2" xfId="0" applyFont="1" applyFill="1" applyBorder="1" applyAlignment="1">
      <alignment horizontal="center" vertical="center" wrapText="1"/>
    </xf>
    <xf numFmtId="0" fontId="44" fillId="22" borderId="6" xfId="0" applyFont="1" applyFill="1" applyBorder="1" applyAlignment="1">
      <alignment vertical="center" wrapText="1"/>
    </xf>
    <xf numFmtId="164" fontId="44" fillId="22" borderId="51" xfId="0" applyNumberFormat="1" applyFont="1" applyFill="1" applyBorder="1" applyAlignment="1">
      <alignment wrapText="1"/>
    </xf>
    <xf numFmtId="164" fontId="44" fillId="22" borderId="7" xfId="0" applyNumberFormat="1" applyFont="1" applyFill="1" applyBorder="1" applyAlignment="1">
      <alignment wrapText="1"/>
    </xf>
    <xf numFmtId="0" fontId="44" fillId="22" borderId="6" xfId="0" applyFont="1" applyFill="1" applyBorder="1" applyAlignment="1" applyProtection="1">
      <alignment vertical="center" wrapText="1"/>
      <protection locked="0"/>
    </xf>
    <xf numFmtId="0" fontId="44" fillId="22" borderId="16" xfId="0" applyFont="1" applyFill="1" applyBorder="1" applyAlignment="1">
      <alignment vertical="center" wrapText="1"/>
    </xf>
    <xf numFmtId="164" fontId="41" fillId="22" borderId="4" xfId="0" applyNumberFormat="1" applyFont="1" applyFill="1" applyBorder="1" applyAlignment="1">
      <alignment wrapText="1"/>
    </xf>
    <xf numFmtId="164" fontId="44" fillId="22" borderId="15" xfId="0" applyNumberFormat="1" applyFont="1" applyFill="1" applyBorder="1" applyAlignment="1">
      <alignment wrapText="1"/>
    </xf>
    <xf numFmtId="164" fontId="41" fillId="22" borderId="13" xfId="1" applyFont="1" applyFill="1" applyBorder="1" applyAlignment="1" applyProtection="1">
      <alignment wrapText="1"/>
    </xf>
    <xf numFmtId="164" fontId="41" fillId="22" borderId="14" xfId="1" applyFont="1" applyFill="1" applyBorder="1" applyAlignment="1">
      <alignment wrapText="1"/>
    </xf>
    <xf numFmtId="164" fontId="41" fillId="22" borderId="12" xfId="0" applyNumberFormat="1" applyFont="1" applyFill="1" applyBorder="1" applyAlignment="1">
      <alignment wrapText="1"/>
    </xf>
    <xf numFmtId="164" fontId="41" fillId="22" borderId="6" xfId="1" applyFont="1" applyFill="1" applyBorder="1" applyAlignment="1" applyProtection="1">
      <alignment wrapText="1"/>
    </xf>
    <xf numFmtId="164" fontId="44" fillId="22" borderId="2" xfId="1" applyFont="1" applyFill="1" applyBorder="1" applyAlignment="1">
      <alignment wrapText="1"/>
    </xf>
    <xf numFmtId="164" fontId="44" fillId="22" borderId="7" xfId="1" applyFont="1" applyFill="1" applyBorder="1" applyAlignment="1">
      <alignment wrapText="1"/>
    </xf>
    <xf numFmtId="164" fontId="44" fillId="22" borderId="9" xfId="1" applyFont="1" applyFill="1" applyBorder="1" applyAlignment="1" applyProtection="1">
      <alignment wrapText="1"/>
    </xf>
    <xf numFmtId="164" fontId="44" fillId="22" borderId="10" xfId="1" applyFont="1" applyFill="1" applyBorder="1" applyAlignment="1">
      <alignment wrapText="1"/>
    </xf>
    <xf numFmtId="164" fontId="44" fillId="22" borderId="11" xfId="1" applyFont="1" applyFill="1" applyBorder="1" applyAlignment="1">
      <alignment wrapText="1"/>
    </xf>
    <xf numFmtId="0" fontId="44" fillId="22" borderId="6" xfId="0" applyFont="1" applyFill="1" applyBorder="1" applyAlignment="1">
      <alignment horizontal="center" vertical="center" wrapText="1"/>
    </xf>
    <xf numFmtId="0" fontId="44" fillId="22" borderId="7" xfId="0" applyFont="1" applyFill="1" applyBorder="1" applyAlignment="1">
      <alignment horizontal="center" vertical="center" wrapText="1"/>
    </xf>
    <xf numFmtId="0" fontId="44" fillId="22" borderId="17" xfId="0" applyFont="1" applyFill="1" applyBorder="1" applyAlignment="1">
      <alignment horizontal="center" vertical="center" wrapText="1"/>
    </xf>
    <xf numFmtId="164" fontId="44" fillId="22" borderId="2" xfId="1" applyFont="1" applyFill="1" applyBorder="1" applyAlignment="1">
      <alignment vertical="center" wrapText="1"/>
    </xf>
    <xf numFmtId="164" fontId="44" fillId="22" borderId="7" xfId="2" applyNumberFormat="1" applyFont="1" applyFill="1" applyBorder="1" applyAlignment="1">
      <alignment vertical="center" wrapText="1"/>
    </xf>
    <xf numFmtId="9" fontId="44" fillId="22" borderId="17" xfId="2" applyFont="1" applyFill="1" applyBorder="1" applyAlignment="1">
      <alignment vertical="center" wrapText="1"/>
    </xf>
    <xf numFmtId="9" fontId="44" fillId="22" borderId="52" xfId="2" applyFont="1" applyFill="1" applyBorder="1" applyAlignment="1">
      <alignment vertical="center" wrapText="1"/>
    </xf>
    <xf numFmtId="0" fontId="44" fillId="22" borderId="9" xfId="0" applyFont="1" applyFill="1" applyBorder="1" applyAlignment="1">
      <alignment vertical="center" wrapText="1"/>
    </xf>
    <xf numFmtId="164" fontId="37" fillId="22" borderId="10" xfId="0" applyNumberFormat="1" applyFont="1" applyFill="1" applyBorder="1"/>
    <xf numFmtId="164" fontId="41" fillId="0" borderId="0" xfId="0" applyNumberFormat="1" applyFont="1" applyBorder="1" applyAlignment="1">
      <alignment wrapText="1"/>
    </xf>
    <xf numFmtId="164" fontId="44" fillId="0" borderId="0" xfId="1" applyFont="1" applyFill="1" applyBorder="1" applyAlignment="1" applyProtection="1">
      <alignment wrapText="1"/>
    </xf>
    <xf numFmtId="164" fontId="44" fillId="0" borderId="0" xfId="1" applyFont="1" applyFill="1" applyBorder="1" applyAlignment="1">
      <alignment wrapText="1"/>
    </xf>
    <xf numFmtId="0" fontId="41" fillId="0" borderId="0" xfId="0" applyFont="1" applyFill="1" applyAlignment="1">
      <alignment wrapText="1"/>
    </xf>
    <xf numFmtId="164" fontId="6" fillId="0" borderId="0" xfId="0" applyNumberFormat="1" applyFont="1" applyBorder="1" applyAlignment="1">
      <alignment wrapText="1"/>
    </xf>
    <xf numFmtId="174" fontId="6" fillId="0" borderId="0" xfId="0" applyNumberFormat="1" applyFont="1" applyFill="1" applyBorder="1" applyAlignment="1">
      <alignment wrapText="1"/>
    </xf>
    <xf numFmtId="174" fontId="0" fillId="0" borderId="0" xfId="0" applyNumberFormat="1"/>
    <xf numFmtId="0" fontId="41" fillId="0" borderId="0" xfId="0" applyFont="1" applyAlignment="1">
      <alignment vertical="center" wrapText="1"/>
    </xf>
    <xf numFmtId="164" fontId="41" fillId="0" borderId="2" xfId="0" applyNumberFormat="1" applyFont="1" applyBorder="1" applyAlignment="1" applyProtection="1">
      <alignment vertical="center" wrapText="1"/>
      <protection locked="0"/>
    </xf>
    <xf numFmtId="164" fontId="44" fillId="22" borderId="2" xfId="0" applyNumberFormat="1" applyFont="1" applyFill="1" applyBorder="1" applyAlignment="1">
      <alignment vertical="center" wrapText="1"/>
    </xf>
    <xf numFmtId="164" fontId="41" fillId="0" borderId="2" xfId="0" applyNumberFormat="1" applyFont="1" applyBorder="1" applyAlignment="1">
      <alignment vertical="center" wrapText="1"/>
    </xf>
    <xf numFmtId="0" fontId="6" fillId="0" borderId="0" xfId="0" applyFont="1" applyBorder="1" applyAlignment="1">
      <alignment vertical="center" wrapText="1"/>
    </xf>
    <xf numFmtId="0" fontId="41" fillId="11" borderId="6" xfId="0" applyFont="1" applyFill="1" applyBorder="1" applyAlignment="1">
      <alignment vertical="center" wrapText="1"/>
    </xf>
    <xf numFmtId="164" fontId="41" fillId="26" borderId="2" xfId="1" applyFont="1" applyFill="1" applyBorder="1" applyAlignment="1" applyProtection="1">
      <alignment vertical="center" wrapText="1"/>
      <protection locked="0"/>
    </xf>
    <xf numFmtId="166" fontId="41" fillId="0" borderId="2" xfId="6" applyFont="1" applyBorder="1" applyAlignment="1">
      <alignment wrapText="1"/>
    </xf>
    <xf numFmtId="166" fontId="6" fillId="0" borderId="0" xfId="0" applyNumberFormat="1" applyFont="1" applyBorder="1" applyAlignment="1">
      <alignment wrapText="1"/>
    </xf>
    <xf numFmtId="164" fontId="0" fillId="0" borderId="2" xfId="0" applyNumberFormat="1" applyBorder="1" applyAlignment="1">
      <alignment vertical="center"/>
    </xf>
    <xf numFmtId="164" fontId="41" fillId="3" borderId="19" xfId="0" applyNumberFormat="1" applyFont="1" applyFill="1" applyBorder="1" applyAlignment="1" applyProtection="1">
      <alignment wrapText="1"/>
      <protection locked="0"/>
    </xf>
    <xf numFmtId="164" fontId="41" fillId="3" borderId="2" xfId="0" applyNumberFormat="1" applyFont="1" applyFill="1" applyBorder="1" applyAlignment="1">
      <alignment wrapText="1"/>
    </xf>
    <xf numFmtId="166" fontId="41" fillId="3" borderId="2" xfId="6" applyFont="1" applyFill="1" applyBorder="1" applyAlignment="1">
      <alignment wrapText="1"/>
    </xf>
    <xf numFmtId="164" fontId="44" fillId="0" borderId="2" xfId="0" applyNumberFormat="1" applyFont="1" applyBorder="1" applyAlignment="1">
      <alignment wrapText="1"/>
    </xf>
    <xf numFmtId="0" fontId="0" fillId="0" borderId="2" xfId="0" applyFont="1" applyBorder="1" applyAlignment="1">
      <alignment vertical="center" wrapText="1"/>
    </xf>
    <xf numFmtId="0" fontId="0" fillId="0" borderId="0" xfId="0" applyFont="1" applyBorder="1" applyAlignment="1">
      <alignment vertical="center" wrapText="1"/>
    </xf>
    <xf numFmtId="4" fontId="46" fillId="0" borderId="2" xfId="0" applyNumberFormat="1" applyFont="1" applyBorder="1" applyAlignment="1">
      <alignment vertical="center"/>
    </xf>
    <xf numFmtId="164" fontId="47" fillId="0" borderId="2" xfId="0" applyNumberFormat="1" applyFont="1" applyBorder="1" applyAlignment="1">
      <alignment wrapText="1"/>
    </xf>
    <xf numFmtId="2" fontId="41" fillId="0" borderId="2" xfId="0" applyNumberFormat="1" applyFont="1" applyBorder="1" applyAlignment="1">
      <alignment wrapText="1"/>
    </xf>
    <xf numFmtId="0" fontId="48" fillId="27" borderId="56" xfId="7" applyFont="1" applyFill="1" applyBorder="1" applyAlignment="1">
      <alignment horizontal="center" vertical="center" wrapText="1"/>
    </xf>
    <xf numFmtId="0" fontId="38" fillId="0" borderId="0" xfId="7"/>
    <xf numFmtId="0" fontId="51" fillId="27" borderId="58" xfId="7" applyFont="1" applyFill="1" applyBorder="1" applyAlignment="1">
      <alignment horizontal="center" vertical="center" wrapText="1"/>
    </xf>
    <xf numFmtId="0" fontId="52" fillId="27" borderId="58" xfId="7" applyFont="1" applyFill="1" applyBorder="1" applyAlignment="1">
      <alignment horizontal="center" vertical="center" wrapText="1"/>
    </xf>
    <xf numFmtId="0" fontId="53" fillId="27" borderId="58" xfId="7" applyFont="1" applyFill="1" applyBorder="1" applyAlignment="1">
      <alignment horizontal="center" vertical="center" wrapText="1"/>
    </xf>
    <xf numFmtId="4" fontId="51" fillId="27" borderId="58" xfId="7" applyNumberFormat="1" applyFont="1" applyFill="1" applyBorder="1" applyAlignment="1">
      <alignment horizontal="center" vertical="center" wrapText="1"/>
    </xf>
    <xf numFmtId="4" fontId="54" fillId="28" borderId="55" xfId="7" applyNumberFormat="1" applyFont="1" applyFill="1" applyBorder="1" applyAlignment="1">
      <alignment vertical="center" wrapText="1"/>
    </xf>
    <xf numFmtId="4" fontId="38" fillId="0" borderId="0" xfId="7" applyNumberFormat="1"/>
    <xf numFmtId="0" fontId="54" fillId="29" borderId="31" xfId="7" applyFont="1" applyFill="1" applyBorder="1" applyAlignment="1">
      <alignment horizontal="center" vertical="center" wrapText="1"/>
    </xf>
    <xf numFmtId="0" fontId="54" fillId="29" borderId="32" xfId="7" applyFont="1" applyFill="1" applyBorder="1" applyAlignment="1">
      <alignment horizontal="center" vertical="center" wrapText="1"/>
    </xf>
    <xf numFmtId="0" fontId="54" fillId="29" borderId="33" xfId="7" applyFont="1" applyFill="1" applyBorder="1" applyAlignment="1">
      <alignment horizontal="center" vertical="center" wrapText="1"/>
    </xf>
    <xf numFmtId="4" fontId="54" fillId="29" borderId="56" xfId="7" applyNumberFormat="1" applyFont="1" applyFill="1" applyBorder="1" applyAlignment="1">
      <alignment vertical="center" wrapText="1"/>
    </xf>
    <xf numFmtId="0" fontId="54" fillId="0" borderId="0" xfId="7" applyFont="1" applyAlignment="1">
      <alignment horizontal="center" vertical="center" wrapText="1"/>
    </xf>
    <xf numFmtId="0" fontId="54" fillId="0" borderId="62" xfId="7" applyFont="1" applyBorder="1" applyAlignment="1">
      <alignment horizontal="center" vertical="center" wrapText="1"/>
    </xf>
    <xf numFmtId="4" fontId="54" fillId="0" borderId="55" xfId="7" applyNumberFormat="1" applyFont="1" applyBorder="1" applyAlignment="1">
      <alignment vertical="center" wrapText="1"/>
    </xf>
    <xf numFmtId="0" fontId="56" fillId="0" borderId="58" xfId="7" applyFont="1" applyBorder="1" applyAlignment="1">
      <alignment horizontal="justify" vertical="center" wrapText="1"/>
    </xf>
    <xf numFmtId="0" fontId="57" fillId="30" borderId="58" xfId="7" applyFont="1" applyFill="1" applyBorder="1" applyAlignment="1">
      <alignment horizontal="center" vertical="center" wrapText="1"/>
    </xf>
    <xf numFmtId="0" fontId="57" fillId="0" borderId="58" xfId="7" applyFont="1" applyBorder="1" applyAlignment="1">
      <alignment horizontal="center" vertical="center" wrapText="1"/>
    </xf>
    <xf numFmtId="0" fontId="53" fillId="0" borderId="58" xfId="7" applyFont="1" applyBorder="1" applyAlignment="1">
      <alignment horizontal="justify" vertical="center" wrapText="1"/>
    </xf>
    <xf numFmtId="0" fontId="53" fillId="11" borderId="58" xfId="7" applyFont="1" applyFill="1" applyBorder="1" applyAlignment="1">
      <alignment horizontal="justify" vertical="center" wrapText="1"/>
    </xf>
    <xf numFmtId="0" fontId="53" fillId="11" borderId="58" xfId="7" applyFont="1" applyFill="1" applyBorder="1" applyAlignment="1">
      <alignment horizontal="center" vertical="center" wrapText="1"/>
    </xf>
    <xf numFmtId="4" fontId="21" fillId="11" borderId="58" xfId="7" applyNumberFormat="1" applyFont="1" applyFill="1" applyBorder="1" applyAlignment="1">
      <alignment horizontal="justify" vertical="center" wrapText="1"/>
    </xf>
    <xf numFmtId="0" fontId="51" fillId="0" borderId="58" xfId="7" applyFont="1" applyBorder="1" applyAlignment="1">
      <alignment horizontal="justify" vertical="center" wrapText="1"/>
    </xf>
    <xf numFmtId="0" fontId="56" fillId="0" borderId="62" xfId="7" applyFont="1" applyBorder="1" applyAlignment="1">
      <alignment horizontal="justify" vertical="center" wrapText="1"/>
    </xf>
    <xf numFmtId="0" fontId="56" fillId="0" borderId="47" xfId="7" applyFont="1" applyBorder="1" applyAlignment="1">
      <alignment horizontal="justify" vertical="center" wrapText="1"/>
    </xf>
    <xf numFmtId="0" fontId="38" fillId="0" borderId="8" xfId="7" applyBorder="1"/>
    <xf numFmtId="0" fontId="38" fillId="0" borderId="26" xfId="7" applyBorder="1"/>
    <xf numFmtId="0" fontId="49" fillId="0" borderId="0" xfId="7" applyFont="1" applyAlignment="1">
      <alignment horizontal="justify" vertical="center" wrapText="1"/>
    </xf>
    <xf numFmtId="0" fontId="49" fillId="0" borderId="26" xfId="7" applyFont="1" applyBorder="1" applyAlignment="1">
      <alignment horizontal="justify" vertical="center" wrapText="1"/>
    </xf>
    <xf numFmtId="0" fontId="56" fillId="0" borderId="50" xfId="7" applyFont="1" applyBorder="1" applyAlignment="1">
      <alignment horizontal="justify" vertical="center" wrapText="1"/>
    </xf>
    <xf numFmtId="0" fontId="53" fillId="0" borderId="62" xfId="7" applyFont="1" applyBorder="1" applyAlignment="1">
      <alignment horizontal="justify" vertical="center" wrapText="1"/>
    </xf>
    <xf numFmtId="0" fontId="53" fillId="0" borderId="58" xfId="7" applyFont="1" applyBorder="1" applyAlignment="1">
      <alignment horizontal="center" vertical="center" wrapText="1"/>
    </xf>
    <xf numFmtId="4" fontId="21" fillId="0" borderId="58" xfId="7" applyNumberFormat="1" applyFont="1" applyBorder="1" applyAlignment="1">
      <alignment horizontal="justify" vertical="center" wrapText="1"/>
    </xf>
    <xf numFmtId="0" fontId="53" fillId="11" borderId="62" xfId="7" applyFont="1" applyFill="1" applyBorder="1" applyAlignment="1">
      <alignment horizontal="justify" vertical="center" wrapText="1"/>
    </xf>
    <xf numFmtId="0" fontId="53" fillId="11" borderId="62" xfId="7" applyFont="1" applyFill="1" applyBorder="1" applyAlignment="1">
      <alignment horizontal="center" vertical="center" wrapText="1"/>
    </xf>
    <xf numFmtId="4" fontId="21" fillId="11" borderId="62" xfId="7" applyNumberFormat="1" applyFont="1" applyFill="1" applyBorder="1" applyAlignment="1">
      <alignment horizontal="justify" vertical="center" wrapText="1"/>
    </xf>
    <xf numFmtId="0" fontId="50" fillId="0" borderId="8" xfId="7" applyFont="1" applyBorder="1" applyAlignment="1">
      <alignment horizontal="justify" vertical="center" wrapText="1"/>
    </xf>
    <xf numFmtId="0" fontId="50" fillId="0" borderId="26" xfId="7" applyFont="1" applyBorder="1" applyAlignment="1">
      <alignment horizontal="justify" vertical="center" wrapText="1"/>
    </xf>
    <xf numFmtId="0" fontId="53" fillId="11" borderId="72" xfId="7" applyFont="1" applyFill="1" applyBorder="1" applyAlignment="1">
      <alignment horizontal="justify" vertical="center" wrapText="1"/>
    </xf>
    <xf numFmtId="0" fontId="53" fillId="11" borderId="72" xfId="7" applyFont="1" applyFill="1" applyBorder="1" applyAlignment="1">
      <alignment horizontal="center" vertical="center" wrapText="1"/>
    </xf>
    <xf numFmtId="0" fontId="53" fillId="11" borderId="0" xfId="7" applyFont="1" applyFill="1" applyAlignment="1">
      <alignment horizontal="justify" vertical="center" wrapText="1"/>
    </xf>
    <xf numFmtId="4" fontId="21" fillId="11" borderId="72" xfId="7" applyNumberFormat="1" applyFont="1" applyFill="1" applyBorder="1" applyAlignment="1">
      <alignment horizontal="justify" vertical="center" wrapText="1"/>
    </xf>
    <xf numFmtId="0" fontId="38" fillId="0" borderId="45" xfId="7" applyBorder="1"/>
    <xf numFmtId="0" fontId="38" fillId="0" borderId="47" xfId="7" applyBorder="1"/>
    <xf numFmtId="0" fontId="53" fillId="11" borderId="61" xfId="7" applyFont="1" applyFill="1" applyBorder="1" applyAlignment="1">
      <alignment horizontal="justify" vertical="center" wrapText="1"/>
    </xf>
    <xf numFmtId="0" fontId="38" fillId="0" borderId="48" xfId="7" applyBorder="1"/>
    <xf numFmtId="0" fontId="38" fillId="0" borderId="50" xfId="7" applyBorder="1"/>
    <xf numFmtId="0" fontId="56" fillId="0" borderId="67" xfId="7" applyFont="1" applyBorder="1" applyAlignment="1">
      <alignment horizontal="justify" vertical="center" wrapText="1"/>
    </xf>
    <xf numFmtId="0" fontId="53" fillId="0" borderId="73" xfId="7" applyFont="1" applyBorder="1" applyAlignment="1">
      <alignment horizontal="justify" vertical="center" wrapText="1"/>
    </xf>
    <xf numFmtId="0" fontId="53" fillId="11" borderId="72" xfId="7" applyFont="1" applyFill="1" applyBorder="1" applyAlignment="1">
      <alignment horizontal="center" vertical="center"/>
    </xf>
    <xf numFmtId="0" fontId="56" fillId="0" borderId="0" xfId="7" applyFont="1" applyAlignment="1">
      <alignment horizontal="justify" vertical="center" wrapText="1"/>
    </xf>
    <xf numFmtId="0" fontId="56" fillId="0" borderId="69" xfId="7" applyFont="1" applyBorder="1" applyAlignment="1">
      <alignment horizontal="justify" vertical="center" wrapText="1"/>
    </xf>
    <xf numFmtId="0" fontId="53" fillId="0" borderId="53" xfId="7" applyFont="1" applyBorder="1" applyAlignment="1">
      <alignment horizontal="justify" vertical="center" wrapText="1"/>
    </xf>
    <xf numFmtId="0" fontId="53" fillId="0" borderId="53" xfId="7" applyFont="1" applyBorder="1" applyAlignment="1">
      <alignment horizontal="center"/>
    </xf>
    <xf numFmtId="4" fontId="21" fillId="0" borderId="53" xfId="7" applyNumberFormat="1" applyFont="1" applyBorder="1" applyAlignment="1">
      <alignment horizontal="justify" vertical="center" wrapText="1"/>
    </xf>
    <xf numFmtId="0" fontId="56" fillId="0" borderId="26" xfId="7" applyFont="1" applyBorder="1" applyAlignment="1">
      <alignment horizontal="justify" vertical="center" wrapText="1"/>
    </xf>
    <xf numFmtId="0" fontId="57" fillId="11" borderId="74" xfId="7" applyFont="1" applyFill="1" applyBorder="1" applyAlignment="1">
      <alignment horizontal="center" vertical="center" wrapText="1"/>
    </xf>
    <xf numFmtId="0" fontId="53" fillId="11" borderId="75" xfId="7" applyFont="1" applyFill="1" applyBorder="1" applyAlignment="1">
      <alignment horizontal="justify" vertical="center" wrapText="1"/>
    </xf>
    <xf numFmtId="0" fontId="53" fillId="11" borderId="32" xfId="7" applyFont="1" applyFill="1" applyBorder="1" applyAlignment="1">
      <alignment horizontal="center" vertical="center" wrapText="1"/>
    </xf>
    <xf numFmtId="0" fontId="57" fillId="11" borderId="72" xfId="7" applyFont="1" applyFill="1" applyBorder="1" applyAlignment="1">
      <alignment horizontal="center" vertical="center" wrapText="1"/>
    </xf>
    <xf numFmtId="4" fontId="21" fillId="11" borderId="33" xfId="7" applyNumberFormat="1" applyFont="1" applyFill="1" applyBorder="1" applyAlignment="1">
      <alignment horizontal="justify" vertical="center" wrapText="1"/>
    </xf>
    <xf numFmtId="0" fontId="57" fillId="0" borderId="62" xfId="7" applyFont="1" applyBorder="1" applyAlignment="1">
      <alignment horizontal="center" vertical="center" wrapText="1"/>
    </xf>
    <xf numFmtId="0" fontId="57" fillId="11" borderId="58" xfId="7" applyFont="1" applyFill="1" applyBorder="1" applyAlignment="1">
      <alignment horizontal="center" vertical="center" wrapText="1"/>
    </xf>
    <xf numFmtId="0" fontId="53" fillId="11" borderId="73" xfId="7" applyFont="1" applyFill="1" applyBorder="1" applyAlignment="1">
      <alignment horizontal="justify" vertical="center" wrapText="1"/>
    </xf>
    <xf numFmtId="0" fontId="57" fillId="13" borderId="58" xfId="7" applyFont="1" applyFill="1" applyBorder="1" applyAlignment="1">
      <alignment horizontal="center" vertical="center" wrapText="1"/>
    </xf>
    <xf numFmtId="0" fontId="38" fillId="0" borderId="1" xfId="7" applyBorder="1"/>
    <xf numFmtId="0" fontId="57" fillId="0" borderId="2" xfId="7" applyFont="1" applyBorder="1" applyAlignment="1">
      <alignment horizontal="center" vertical="center" wrapText="1"/>
    </xf>
    <xf numFmtId="0" fontId="38" fillId="0" borderId="2" xfId="7" applyBorder="1"/>
    <xf numFmtId="0" fontId="53" fillId="0" borderId="2" xfId="7" applyFont="1" applyBorder="1" applyAlignment="1">
      <alignment horizontal="justify" vertical="center" wrapText="1"/>
    </xf>
    <xf numFmtId="0" fontId="53" fillId="0" borderId="2" xfId="7" applyFont="1" applyBorder="1" applyAlignment="1">
      <alignment horizontal="center" vertical="center" wrapText="1"/>
    </xf>
    <xf numFmtId="0" fontId="53" fillId="0" borderId="2" xfId="7" applyFont="1" applyBorder="1" applyAlignment="1">
      <alignment horizontal="center" vertical="center"/>
    </xf>
    <xf numFmtId="4" fontId="21" fillId="0" borderId="2" xfId="7" applyNumberFormat="1" applyFont="1" applyBorder="1" applyAlignment="1">
      <alignment horizontal="justify" vertical="center" wrapText="1"/>
    </xf>
    <xf numFmtId="0" fontId="57" fillId="30" borderId="62" xfId="7" applyFont="1" applyFill="1" applyBorder="1" applyAlignment="1">
      <alignment horizontal="center" vertical="center" wrapText="1"/>
    </xf>
    <xf numFmtId="0" fontId="57" fillId="31" borderId="62" xfId="7" applyFont="1" applyFill="1" applyBorder="1" applyAlignment="1">
      <alignment horizontal="center" vertical="center" wrapText="1"/>
    </xf>
    <xf numFmtId="0" fontId="56" fillId="0" borderId="2" xfId="7" applyFont="1" applyBorder="1" applyAlignment="1">
      <alignment horizontal="justify" vertical="center" wrapText="1"/>
    </xf>
    <xf numFmtId="0" fontId="53" fillId="30" borderId="2" xfId="7" applyFont="1" applyFill="1" applyBorder="1" applyAlignment="1">
      <alignment horizontal="center" vertical="center" wrapText="1"/>
    </xf>
    <xf numFmtId="4" fontId="21" fillId="0" borderId="7" xfId="7" applyNumberFormat="1" applyFont="1" applyBorder="1" applyAlignment="1">
      <alignment horizontal="justify" vertical="center" wrapText="1"/>
    </xf>
    <xf numFmtId="0" fontId="53" fillId="11" borderId="2" xfId="7" applyFont="1" applyFill="1" applyBorder="1" applyAlignment="1">
      <alignment horizontal="justify" vertical="center" wrapText="1"/>
    </xf>
    <xf numFmtId="0" fontId="53" fillId="11" borderId="2" xfId="7" applyFont="1" applyFill="1" applyBorder="1" applyAlignment="1">
      <alignment horizontal="center" vertical="center" wrapText="1"/>
    </xf>
    <xf numFmtId="4" fontId="21" fillId="11" borderId="7" xfId="7" applyNumberFormat="1" applyFont="1" applyFill="1" applyBorder="1" applyAlignment="1">
      <alignment horizontal="justify" vertical="center" wrapText="1"/>
    </xf>
    <xf numFmtId="0" fontId="56" fillId="0" borderId="39" xfId="7" applyFont="1" applyBorder="1" applyAlignment="1">
      <alignment horizontal="justify" vertical="center" wrapText="1"/>
    </xf>
    <xf numFmtId="0" fontId="53" fillId="30" borderId="2" xfId="7" applyFont="1" applyFill="1" applyBorder="1" applyAlignment="1">
      <alignment horizontal="justify" vertical="center" wrapText="1"/>
    </xf>
    <xf numFmtId="0" fontId="53" fillId="0" borderId="1" xfId="7" applyFont="1" applyBorder="1" applyAlignment="1">
      <alignment horizontal="justify" vertical="center" wrapText="1"/>
    </xf>
    <xf numFmtId="0" fontId="56" fillId="0" borderId="1" xfId="7" applyFont="1" applyBorder="1" applyAlignment="1">
      <alignment horizontal="justify" vertical="center" wrapText="1"/>
    </xf>
    <xf numFmtId="0" fontId="38" fillId="0" borderId="49" xfId="7" applyBorder="1"/>
    <xf numFmtId="0" fontId="56" fillId="0" borderId="82" xfId="7" applyFont="1" applyBorder="1" applyAlignment="1">
      <alignment horizontal="justify" vertical="center" wrapText="1"/>
    </xf>
    <xf numFmtId="0" fontId="53" fillId="0" borderId="10" xfId="7" applyFont="1" applyBorder="1" applyAlignment="1">
      <alignment horizontal="justify" vertical="center" wrapText="1"/>
    </xf>
    <xf numFmtId="0" fontId="53" fillId="0" borderId="10" xfId="7" applyFont="1" applyBorder="1" applyAlignment="1">
      <alignment horizontal="center" vertical="center" wrapText="1"/>
    </xf>
    <xf numFmtId="4" fontId="21" fillId="0" borderId="11" xfId="7" applyNumberFormat="1" applyFont="1" applyBorder="1" applyAlignment="1">
      <alignment horizontal="justify" vertical="center" wrapText="1"/>
    </xf>
    <xf numFmtId="4" fontId="54" fillId="29" borderId="57" xfId="7" applyNumberFormat="1" applyFont="1" applyFill="1" applyBorder="1" applyAlignment="1">
      <alignment vertical="center" wrapText="1"/>
    </xf>
    <xf numFmtId="0" fontId="53" fillId="30" borderId="58" xfId="7" applyFont="1" applyFill="1" applyBorder="1" applyAlignment="1">
      <alignment horizontal="center" vertical="center" wrapText="1"/>
    </xf>
    <xf numFmtId="0" fontId="50" fillId="0" borderId="77" xfId="7" applyFont="1" applyBorder="1" applyAlignment="1">
      <alignment horizontal="justify" vertical="center" wrapText="1"/>
    </xf>
    <xf numFmtId="0" fontId="50" fillId="0" borderId="0" xfId="7" applyFont="1" applyAlignment="1">
      <alignment horizontal="justify" vertical="center" wrapText="1"/>
    </xf>
    <xf numFmtId="0" fontId="56" fillId="0" borderId="8" xfId="7" applyFont="1" applyBorder="1" applyAlignment="1">
      <alignment horizontal="justify" vertical="center" wrapText="1"/>
    </xf>
    <xf numFmtId="0" fontId="56" fillId="0" borderId="78" xfId="7" applyFont="1" applyBorder="1" applyAlignment="1">
      <alignment horizontal="justify" vertical="center" wrapText="1"/>
    </xf>
    <xf numFmtId="0" fontId="38" fillId="31" borderId="58" xfId="7" applyFill="1" applyBorder="1"/>
    <xf numFmtId="0" fontId="38" fillId="0" borderId="58" xfId="7" applyBorder="1"/>
    <xf numFmtId="0" fontId="53" fillId="31" borderId="58" xfId="7" applyFont="1" applyFill="1" applyBorder="1" applyAlignment="1">
      <alignment horizontal="center" vertical="center" wrapText="1"/>
    </xf>
    <xf numFmtId="0" fontId="38" fillId="0" borderId="77" xfId="7" applyBorder="1"/>
    <xf numFmtId="0" fontId="55" fillId="0" borderId="77" xfId="7" applyFont="1" applyBorder="1" applyAlignment="1">
      <alignment horizontal="justify" vertical="center" wrapText="1"/>
    </xf>
    <xf numFmtId="0" fontId="55" fillId="0" borderId="0" xfId="7" applyFont="1" applyAlignment="1">
      <alignment horizontal="justify" vertical="center" wrapText="1"/>
    </xf>
    <xf numFmtId="0" fontId="53" fillId="32" borderId="58" xfId="7" applyFont="1" applyFill="1" applyBorder="1" applyAlignment="1">
      <alignment horizontal="justify" vertical="center" wrapText="1"/>
    </xf>
    <xf numFmtId="0" fontId="53" fillId="32" borderId="58" xfId="7" applyFont="1" applyFill="1" applyBorder="1" applyAlignment="1">
      <alignment horizontal="center" vertical="center" wrapText="1"/>
    </xf>
    <xf numFmtId="4" fontId="21" fillId="32" borderId="58" xfId="7" applyNumberFormat="1" applyFont="1" applyFill="1" applyBorder="1" applyAlignment="1">
      <alignment horizontal="justify" vertical="center" wrapText="1"/>
    </xf>
    <xf numFmtId="0" fontId="53" fillId="30" borderId="58" xfId="7" applyFont="1" applyFill="1" applyBorder="1" applyAlignment="1">
      <alignment horizontal="justify" vertical="center" wrapText="1"/>
    </xf>
    <xf numFmtId="4" fontId="59" fillId="33" borderId="55" xfId="7" applyNumberFormat="1" applyFont="1" applyFill="1" applyBorder="1" applyAlignment="1">
      <alignment vertical="center" wrapText="1"/>
    </xf>
    <xf numFmtId="0" fontId="53" fillId="34" borderId="58" xfId="7" applyFont="1" applyFill="1" applyBorder="1" applyAlignment="1">
      <alignment horizontal="justify" vertical="center" wrapText="1"/>
    </xf>
    <xf numFmtId="0" fontId="53" fillId="34" borderId="58" xfId="7" applyFont="1" applyFill="1" applyBorder="1" applyAlignment="1">
      <alignment horizontal="center" vertical="center" wrapText="1"/>
    </xf>
    <xf numFmtId="0" fontId="53" fillId="34" borderId="58" xfId="7" applyFont="1" applyFill="1" applyBorder="1" applyAlignment="1">
      <alignment horizontal="center" vertical="center"/>
    </xf>
    <xf numFmtId="0" fontId="38" fillId="34" borderId="58" xfId="7" applyFill="1" applyBorder="1"/>
    <xf numFmtId="4" fontId="21" fillId="34" borderId="58" xfId="7" applyNumberFormat="1" applyFont="1" applyFill="1" applyBorder="1" applyAlignment="1">
      <alignment horizontal="justify" vertical="center" wrapText="1"/>
    </xf>
    <xf numFmtId="0" fontId="53" fillId="31" borderId="58" xfId="7" applyFont="1" applyFill="1" applyBorder="1" applyAlignment="1">
      <alignment horizontal="justify" vertical="center" wrapText="1"/>
    </xf>
    <xf numFmtId="0" fontId="49" fillId="0" borderId="8" xfId="7" applyFont="1" applyBorder="1" applyAlignment="1">
      <alignment horizontal="justify" vertical="center" wrapText="1"/>
    </xf>
    <xf numFmtId="0" fontId="53" fillId="11" borderId="58" xfId="7" applyFont="1" applyFill="1" applyBorder="1" applyAlignment="1">
      <alignment horizontal="center" vertical="center"/>
    </xf>
    <xf numFmtId="0" fontId="38" fillId="11" borderId="58" xfId="7" applyFill="1" applyBorder="1" applyAlignment="1">
      <alignment vertical="center"/>
    </xf>
    <xf numFmtId="0" fontId="57" fillId="0" borderId="58" xfId="7" applyFont="1" applyBorder="1" applyAlignment="1">
      <alignment horizontal="justify" vertical="center" wrapText="1"/>
    </xf>
    <xf numFmtId="0" fontId="57" fillId="30" borderId="58" xfId="7" applyFont="1" applyFill="1" applyBorder="1" applyAlignment="1">
      <alignment horizontal="justify" vertical="center" wrapText="1"/>
    </xf>
    <xf numFmtId="0" fontId="57" fillId="0" borderId="62" xfId="7" applyFont="1" applyBorder="1" applyAlignment="1">
      <alignment horizontal="justify" vertical="center" wrapText="1"/>
    </xf>
    <xf numFmtId="0" fontId="53" fillId="0" borderId="58" xfId="7" applyFont="1" applyBorder="1" applyAlignment="1">
      <alignment horizontal="center" vertical="center"/>
    </xf>
    <xf numFmtId="0" fontId="53" fillId="0" borderId="58" xfId="7" applyFont="1" applyBorder="1" applyAlignment="1">
      <alignment horizontal="center"/>
    </xf>
    <xf numFmtId="0" fontId="38" fillId="0" borderId="61" xfId="7" applyBorder="1"/>
    <xf numFmtId="0" fontId="38" fillId="0" borderId="54" xfId="7" applyBorder="1"/>
    <xf numFmtId="0" fontId="57" fillId="0" borderId="54" xfId="7" applyFont="1" applyBorder="1" applyAlignment="1">
      <alignment horizontal="center" vertical="center" wrapText="1"/>
    </xf>
    <xf numFmtId="0" fontId="53" fillId="0" borderId="62" xfId="7" applyFont="1" applyBorder="1" applyAlignment="1">
      <alignment horizontal="center" vertical="center" wrapText="1"/>
    </xf>
    <xf numFmtId="0" fontId="53" fillId="0" borderId="62" xfId="7" applyFont="1" applyBorder="1" applyAlignment="1">
      <alignment horizontal="center" vertical="center"/>
    </xf>
    <xf numFmtId="0" fontId="38" fillId="0" borderId="62" xfId="7" applyBorder="1"/>
    <xf numFmtId="4" fontId="61" fillId="12" borderId="58" xfId="7" applyNumberFormat="1" applyFont="1" applyFill="1" applyBorder="1" applyAlignment="1">
      <alignment horizontal="justify" vertical="center" wrapText="1"/>
    </xf>
    <xf numFmtId="0" fontId="54" fillId="29" borderId="45" xfId="7" applyFont="1" applyFill="1" applyBorder="1" applyAlignment="1">
      <alignment horizontal="center" vertical="center" wrapText="1"/>
    </xf>
    <xf numFmtId="0" fontId="54" fillId="29" borderId="46" xfId="7" applyFont="1" applyFill="1" applyBorder="1" applyAlignment="1">
      <alignment horizontal="center" vertical="center" wrapText="1"/>
    </xf>
    <xf numFmtId="0" fontId="54" fillId="29" borderId="47" xfId="7" applyFont="1" applyFill="1" applyBorder="1" applyAlignment="1">
      <alignment horizontal="center" vertical="center" wrapText="1"/>
    </xf>
    <xf numFmtId="0" fontId="38" fillId="0" borderId="31" xfId="7" applyBorder="1"/>
    <xf numFmtId="0" fontId="54" fillId="0" borderId="32" xfId="7" applyFont="1" applyBorder="1" applyAlignment="1">
      <alignment horizontal="center" vertical="center" wrapText="1"/>
    </xf>
    <xf numFmtId="0" fontId="54" fillId="0" borderId="33" xfId="7" applyFont="1" applyBorder="1" applyAlignment="1">
      <alignment horizontal="center" vertical="center" wrapText="1"/>
    </xf>
    <xf numFmtId="4" fontId="54" fillId="0" borderId="56" xfId="7" applyNumberFormat="1" applyFont="1" applyBorder="1" applyAlignment="1">
      <alignment vertical="center" wrapText="1"/>
    </xf>
    <xf numFmtId="0" fontId="55" fillId="0" borderId="77" xfId="7" applyFont="1" applyBorder="1" applyAlignment="1">
      <alignment horizontal="left" vertical="center" wrapText="1"/>
    </xf>
    <xf numFmtId="0" fontId="55" fillId="0" borderId="62" xfId="7" applyFont="1" applyBorder="1" applyAlignment="1">
      <alignment horizontal="left" vertical="center" wrapText="1"/>
    </xf>
    <xf numFmtId="0" fontId="62" fillId="0" borderId="77" xfId="7" applyFont="1" applyBorder="1" applyAlignment="1">
      <alignment horizontal="justify" vertical="center" wrapText="1"/>
    </xf>
    <xf numFmtId="0" fontId="62" fillId="0" borderId="62" xfId="7" applyFont="1" applyBorder="1" applyAlignment="1">
      <alignment horizontal="justify" vertical="center" wrapText="1"/>
    </xf>
    <xf numFmtId="0" fontId="52" fillId="0" borderId="58" xfId="7" applyFont="1" applyBorder="1" applyAlignment="1">
      <alignment horizontal="justify" vertical="center" wrapText="1"/>
    </xf>
    <xf numFmtId="4" fontId="53" fillId="0" borderId="58" xfId="7" applyNumberFormat="1" applyFont="1" applyBorder="1" applyAlignment="1">
      <alignment horizontal="justify" vertical="center" wrapText="1"/>
    </xf>
    <xf numFmtId="0" fontId="64" fillId="0" borderId="0" xfId="7" applyFont="1"/>
    <xf numFmtId="0" fontId="38" fillId="0" borderId="57" xfId="7" applyBorder="1"/>
    <xf numFmtId="0" fontId="53" fillId="30" borderId="62" xfId="7" applyFont="1" applyFill="1" applyBorder="1" applyAlignment="1">
      <alignment horizontal="center" vertical="center" wrapText="1"/>
    </xf>
    <xf numFmtId="0" fontId="53" fillId="0" borderId="46" xfId="7" applyFont="1" applyBorder="1" applyAlignment="1">
      <alignment horizontal="justify" vertical="center" wrapText="1"/>
    </xf>
    <xf numFmtId="0" fontId="53" fillId="0" borderId="46" xfId="7" applyFont="1" applyBorder="1" applyAlignment="1">
      <alignment horizontal="center" vertical="center" wrapText="1"/>
    </xf>
    <xf numFmtId="0" fontId="53" fillId="0" borderId="47" xfId="7" applyFont="1" applyBorder="1" applyAlignment="1">
      <alignment horizontal="justify" vertical="center" wrapText="1"/>
    </xf>
    <xf numFmtId="4" fontId="54" fillId="28" borderId="58" xfId="7" applyNumberFormat="1" applyFont="1" applyFill="1" applyBorder="1" applyAlignment="1">
      <alignment horizontal="justify" vertical="center" wrapText="1"/>
    </xf>
    <xf numFmtId="4" fontId="54" fillId="29" borderId="58" xfId="7" applyNumberFormat="1" applyFont="1" applyFill="1" applyBorder="1" applyAlignment="1">
      <alignment horizontal="justify" vertical="center" wrapText="1"/>
    </xf>
    <xf numFmtId="0" fontId="53" fillId="0" borderId="32" xfId="7" applyFont="1" applyBorder="1" applyAlignment="1">
      <alignment horizontal="justify" vertical="center" wrapText="1"/>
    </xf>
    <xf numFmtId="0" fontId="53" fillId="0" borderId="32" xfId="7" applyFont="1" applyBorder="1" applyAlignment="1">
      <alignment horizontal="center" vertical="center" wrapText="1"/>
    </xf>
    <xf numFmtId="0" fontId="53" fillId="0" borderId="33" xfId="7" applyFont="1" applyBorder="1" applyAlignment="1">
      <alignment horizontal="justify" vertical="center" wrapText="1"/>
    </xf>
    <xf numFmtId="4" fontId="54" fillId="0" borderId="58" xfId="7" applyNumberFormat="1" applyFont="1" applyBorder="1" applyAlignment="1">
      <alignment horizontal="justify" vertical="center" wrapText="1"/>
    </xf>
    <xf numFmtId="0" fontId="53" fillId="0" borderId="0" xfId="7" applyFont="1" applyAlignment="1">
      <alignment horizontal="center"/>
    </xf>
    <xf numFmtId="0" fontId="53" fillId="0" borderId="0" xfId="7" applyFont="1"/>
    <xf numFmtId="164" fontId="65" fillId="0" borderId="2" xfId="1" applyNumberFormat="1" applyFont="1" applyBorder="1" applyAlignment="1" applyProtection="1">
      <alignment horizontal="center" vertical="center" wrapText="1"/>
      <protection locked="0"/>
    </xf>
    <xf numFmtId="164" fontId="47" fillId="0" borderId="2" xfId="0" applyNumberFormat="1" applyFont="1" applyBorder="1" applyAlignment="1" applyProtection="1">
      <alignment wrapText="1"/>
      <protection locked="0"/>
    </xf>
    <xf numFmtId="164" fontId="47" fillId="0" borderId="2" xfId="0" applyNumberFormat="1" applyFont="1" applyBorder="1" applyAlignment="1" applyProtection="1">
      <alignment vertical="center" wrapText="1"/>
      <protection locked="0"/>
    </xf>
    <xf numFmtId="0" fontId="2" fillId="0" borderId="0" xfId="0" applyFont="1" applyBorder="1" applyAlignment="1">
      <alignment vertical="center" wrapText="1"/>
    </xf>
    <xf numFmtId="0" fontId="2" fillId="0" borderId="0" xfId="0" applyFont="1" applyBorder="1" applyAlignment="1">
      <alignment wrapText="1"/>
    </xf>
    <xf numFmtId="164" fontId="2" fillId="3" borderId="2" xfId="8" applyNumberFormat="1" applyFont="1" applyFill="1" applyBorder="1" applyAlignment="1">
      <alignment horizontal="center" vertical="center" wrapText="1"/>
    </xf>
    <xf numFmtId="166" fontId="6" fillId="0" borderId="0" xfId="6" applyFont="1" applyBorder="1" applyAlignment="1">
      <alignment wrapText="1"/>
    </xf>
    <xf numFmtId="165" fontId="6" fillId="0" borderId="0" xfId="0" applyNumberFormat="1" applyFont="1" applyBorder="1" applyAlignment="1">
      <alignment wrapText="1"/>
    </xf>
    <xf numFmtId="164" fontId="66" fillId="0" borderId="2" xfId="1" applyFont="1" applyBorder="1" applyAlignment="1" applyProtection="1">
      <alignment horizontal="center" vertical="center" wrapText="1"/>
      <protection locked="0"/>
    </xf>
    <xf numFmtId="164" fontId="47" fillId="0" borderId="2" xfId="1" applyFont="1" applyBorder="1" applyAlignment="1">
      <alignment wrapText="1"/>
    </xf>
    <xf numFmtId="164" fontId="41" fillId="0" borderId="2" xfId="1" applyFont="1" applyBorder="1" applyAlignment="1">
      <alignment wrapText="1"/>
    </xf>
    <xf numFmtId="166" fontId="0" fillId="8" borderId="2" xfId="0" applyNumberFormat="1" applyFill="1" applyBorder="1" applyAlignment="1">
      <alignment vertical="center"/>
    </xf>
    <xf numFmtId="164" fontId="0" fillId="8" borderId="2" xfId="0" applyNumberFormat="1" applyFill="1" applyBorder="1" applyAlignment="1">
      <alignment vertical="center"/>
    </xf>
    <xf numFmtId="0" fontId="67" fillId="6" borderId="2" xfId="0" applyFont="1" applyFill="1" applyBorder="1" applyAlignment="1" applyProtection="1">
      <alignment vertical="center" wrapText="1"/>
    </xf>
    <xf numFmtId="164" fontId="67" fillId="0" borderId="2" xfId="1" applyFont="1" applyBorder="1" applyAlignment="1" applyProtection="1">
      <alignment horizontal="center" vertical="center" wrapText="1"/>
      <protection locked="0"/>
    </xf>
    <xf numFmtId="0" fontId="67" fillId="2" borderId="2" xfId="0" applyFont="1" applyFill="1" applyBorder="1" applyAlignment="1" applyProtection="1">
      <alignment vertical="center" wrapText="1"/>
    </xf>
    <xf numFmtId="164" fontId="65" fillId="0" borderId="2" xfId="1" applyFont="1" applyBorder="1" applyAlignment="1" applyProtection="1">
      <alignment horizontal="center" vertical="center" wrapText="1"/>
      <protection locked="0"/>
    </xf>
    <xf numFmtId="164" fontId="65" fillId="0" borderId="2" xfId="1" applyFont="1" applyBorder="1" applyAlignment="1" applyProtection="1">
      <alignment vertical="center" wrapText="1"/>
      <protection locked="0"/>
    </xf>
    <xf numFmtId="164" fontId="67" fillId="0" borderId="2" xfId="1" applyFont="1" applyFill="1" applyBorder="1" applyAlignment="1" applyProtection="1">
      <alignment horizontal="center" vertical="center" wrapText="1"/>
    </xf>
    <xf numFmtId="164" fontId="65" fillId="2" borderId="2" xfId="0" applyNumberFormat="1" applyFont="1" applyFill="1" applyBorder="1" applyAlignment="1" applyProtection="1">
      <alignment vertical="center" wrapText="1"/>
    </xf>
    <xf numFmtId="9" fontId="40" fillId="2" borderId="10" xfId="2" applyFont="1" applyFill="1" applyBorder="1" applyAlignment="1">
      <alignment vertical="center" wrapText="1"/>
    </xf>
    <xf numFmtId="10" fontId="40" fillId="2" borderId="10" xfId="2" applyNumberFormat="1" applyFont="1" applyFill="1" applyBorder="1" applyAlignment="1">
      <alignment vertical="center" wrapText="1"/>
    </xf>
    <xf numFmtId="164" fontId="70" fillId="0" borderId="19" xfId="0" applyNumberFormat="1" applyFont="1" applyBorder="1" applyAlignment="1" applyProtection="1">
      <alignment wrapText="1"/>
      <protection locked="0"/>
    </xf>
    <xf numFmtId="164" fontId="70" fillId="0" borderId="2" xfId="0" applyNumberFormat="1" applyFont="1" applyBorder="1" applyAlignment="1" applyProtection="1">
      <alignment wrapText="1"/>
      <protection locked="0"/>
    </xf>
    <xf numFmtId="164" fontId="70" fillId="22" borderId="19" xfId="0" applyNumberFormat="1" applyFont="1" applyFill="1" applyBorder="1" applyAlignment="1">
      <alignment wrapText="1"/>
    </xf>
    <xf numFmtId="164" fontId="70" fillId="22" borderId="2" xfId="0" applyNumberFormat="1" applyFont="1" applyFill="1" applyBorder="1" applyAlignment="1">
      <alignment wrapText="1"/>
    </xf>
    <xf numFmtId="0" fontId="8" fillId="0" borderId="2" xfId="0" applyFont="1" applyBorder="1" applyAlignment="1">
      <alignment wrapText="1"/>
    </xf>
    <xf numFmtId="164" fontId="0" fillId="0" borderId="2" xfId="0" applyNumberFormat="1" applyFont="1" applyBorder="1" applyAlignment="1">
      <alignment wrapText="1"/>
    </xf>
    <xf numFmtId="164" fontId="67" fillId="0" borderId="2" xfId="1" applyFont="1" applyFill="1" applyBorder="1" applyAlignment="1" applyProtection="1">
      <alignment horizontal="center" vertical="center" wrapText="1"/>
      <protection locked="0"/>
    </xf>
    <xf numFmtId="0" fontId="13" fillId="0" borderId="2" xfId="0" applyFont="1" applyBorder="1" applyAlignment="1">
      <alignment wrapText="1"/>
    </xf>
    <xf numFmtId="164" fontId="6" fillId="0" borderId="0" xfId="1" applyFont="1" applyFill="1" applyBorder="1" applyAlignment="1" applyProtection="1">
      <alignment vertical="center" wrapText="1"/>
      <protection locked="0"/>
    </xf>
    <xf numFmtId="164" fontId="2" fillId="0" borderId="2" xfId="1" applyNumberFormat="1" applyFont="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64" fontId="3" fillId="0" borderId="0" xfId="1" applyFont="1" applyFill="1" applyBorder="1" applyAlignment="1" applyProtection="1">
      <alignment vertical="center" wrapText="1"/>
      <protection locked="0"/>
    </xf>
    <xf numFmtId="0" fontId="2" fillId="0" borderId="0" xfId="0" applyFont="1" applyFill="1" applyBorder="1" applyAlignment="1">
      <alignment wrapText="1"/>
    </xf>
    <xf numFmtId="166" fontId="6" fillId="0" borderId="0" xfId="6" applyFont="1" applyBorder="1" applyAlignment="1">
      <alignment vertical="center" wrapText="1"/>
    </xf>
    <xf numFmtId="165" fontId="6" fillId="0" borderId="0" xfId="0" applyNumberFormat="1" applyFont="1" applyFill="1" applyBorder="1" applyAlignment="1">
      <alignment wrapText="1"/>
    </xf>
    <xf numFmtId="0" fontId="41" fillId="0" borderId="2" xfId="0" applyFont="1" applyFill="1" applyBorder="1" applyAlignment="1">
      <alignment wrapText="1"/>
    </xf>
    <xf numFmtId="164" fontId="41" fillId="0" borderId="2" xfId="0" applyNumberFormat="1" applyFont="1" applyFill="1" applyBorder="1" applyAlignment="1">
      <alignment wrapText="1"/>
    </xf>
    <xf numFmtId="164" fontId="70" fillId="0" borderId="2" xfId="0" applyNumberFormat="1" applyFont="1" applyFill="1" applyBorder="1" applyAlignment="1" applyProtection="1">
      <alignment wrapText="1"/>
      <protection locked="0"/>
    </xf>
    <xf numFmtId="164" fontId="47" fillId="0" borderId="2" xfId="1" applyFont="1" applyFill="1" applyBorder="1" applyAlignment="1">
      <alignment wrapText="1"/>
    </xf>
    <xf numFmtId="164" fontId="2" fillId="0" borderId="0" xfId="0" applyNumberFormat="1" applyFont="1" applyBorder="1" applyAlignment="1">
      <alignment wrapText="1"/>
    </xf>
    <xf numFmtId="164" fontId="44" fillId="22" borderId="4" xfId="1" applyFont="1" applyFill="1" applyBorder="1" applyAlignment="1" applyProtection="1">
      <alignment horizontal="center" vertical="center" wrapText="1"/>
      <protection locked="0"/>
    </xf>
    <xf numFmtId="164" fontId="44" fillId="0" borderId="0" xfId="0" applyNumberFormat="1" applyFont="1" applyBorder="1" applyAlignment="1">
      <alignment wrapText="1"/>
    </xf>
    <xf numFmtId="166" fontId="41" fillId="22" borderId="2" xfId="6" applyFont="1" applyFill="1" applyBorder="1" applyAlignment="1">
      <alignment wrapText="1"/>
    </xf>
    <xf numFmtId="166" fontId="41" fillId="0" borderId="2" xfId="6" applyFont="1" applyFill="1" applyBorder="1" applyAlignment="1">
      <alignment wrapText="1"/>
    </xf>
    <xf numFmtId="164" fontId="3" fillId="0" borderId="2" xfId="1" applyFont="1" applyFill="1" applyBorder="1" applyAlignment="1" applyProtection="1">
      <alignment horizontal="center" vertical="center" wrapText="1"/>
      <protection locked="0"/>
    </xf>
    <xf numFmtId="164" fontId="11" fillId="0" borderId="0" xfId="1" applyFont="1" applyFill="1" applyBorder="1" applyAlignment="1">
      <alignment wrapText="1"/>
    </xf>
    <xf numFmtId="164" fontId="9" fillId="0" borderId="0" xfId="1" applyFont="1" applyFill="1" applyBorder="1" applyAlignment="1">
      <alignment horizontal="left" wrapText="1"/>
    </xf>
    <xf numFmtId="0" fontId="37" fillId="0" borderId="14" xfId="0" applyFont="1" applyFill="1" applyBorder="1" applyAlignment="1">
      <alignment vertical="center" wrapText="1"/>
    </xf>
    <xf numFmtId="0" fontId="3" fillId="0" borderId="2" xfId="0" applyFont="1" applyFill="1" applyBorder="1" applyAlignment="1" applyProtection="1">
      <alignment horizontal="center" vertical="center" wrapText="1"/>
    </xf>
    <xf numFmtId="164" fontId="6" fillId="0" borderId="2" xfId="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2" xfId="1" applyFont="1" applyFill="1" applyBorder="1" applyAlignment="1" applyProtection="1">
      <alignment vertical="center" wrapText="1"/>
      <protection locked="0"/>
    </xf>
    <xf numFmtId="164" fontId="6" fillId="0" borderId="12" xfId="0" applyNumberFormat="1" applyFont="1" applyFill="1" applyBorder="1" applyAlignment="1" applyProtection="1">
      <alignment vertical="center" wrapText="1"/>
    </xf>
    <xf numFmtId="164" fontId="6" fillId="0" borderId="7" xfId="0" applyNumberFormat="1" applyFont="1" applyFill="1" applyBorder="1" applyAlignment="1" applyProtection="1">
      <alignment vertical="center" wrapText="1"/>
    </xf>
    <xf numFmtId="164" fontId="3" fillId="0" borderId="7" xfId="0" applyNumberFormat="1" applyFont="1" applyFill="1" applyBorder="1" applyAlignment="1" applyProtection="1">
      <alignment vertical="center" wrapText="1"/>
    </xf>
    <xf numFmtId="10" fontId="68" fillId="0" borderId="11" xfId="2" applyNumberFormat="1" applyFont="1" applyFill="1" applyBorder="1" applyAlignment="1">
      <alignment wrapText="1"/>
    </xf>
    <xf numFmtId="0" fontId="0" fillId="0" borderId="19" xfId="0" applyFont="1" applyBorder="1" applyAlignment="1">
      <alignment wrapText="1"/>
    </xf>
    <xf numFmtId="0" fontId="3" fillId="3" borderId="2" xfId="0" applyFont="1" applyFill="1" applyBorder="1" applyAlignment="1" applyProtection="1">
      <alignment vertical="center" wrapText="1"/>
    </xf>
    <xf numFmtId="0" fontId="0" fillId="0" borderId="67" xfId="0" applyBorder="1"/>
    <xf numFmtId="164" fontId="0" fillId="0" borderId="13" xfId="0" applyNumberFormat="1" applyBorder="1"/>
    <xf numFmtId="164" fontId="0" fillId="0" borderId="14" xfId="0" applyNumberFormat="1" applyBorder="1"/>
    <xf numFmtId="0" fontId="0" fillId="0" borderId="14" xfId="0" applyBorder="1"/>
    <xf numFmtId="0" fontId="0" fillId="0" borderId="12" xfId="0" applyBorder="1"/>
    <xf numFmtId="164" fontId="44" fillId="22" borderId="6" xfId="1" applyFont="1" applyFill="1" applyBorder="1" applyAlignment="1" applyProtection="1">
      <alignment horizontal="center" vertical="center" wrapText="1"/>
      <protection locked="0"/>
    </xf>
    <xf numFmtId="10" fontId="0" fillId="0" borderId="7" xfId="2" applyNumberFormat="1" applyFont="1" applyBorder="1" applyAlignment="1">
      <alignment vertical="center"/>
    </xf>
    <xf numFmtId="164" fontId="44" fillId="22" borderId="9" xfId="1" applyFont="1" applyFill="1" applyBorder="1" applyAlignment="1" applyProtection="1">
      <alignment horizontal="center" vertical="center" wrapText="1"/>
      <protection locked="0"/>
    </xf>
    <xf numFmtId="173" fontId="0" fillId="0" borderId="10" xfId="0" applyNumberFormat="1" applyBorder="1"/>
    <xf numFmtId="164" fontId="0" fillId="0" borderId="10" xfId="0" applyNumberFormat="1" applyBorder="1"/>
    <xf numFmtId="170" fontId="0" fillId="8" borderId="10" xfId="0" applyNumberFormat="1" applyFill="1" applyBorder="1"/>
    <xf numFmtId="164" fontId="0" fillId="8" borderId="10" xfId="0" applyNumberFormat="1" applyFill="1" applyBorder="1"/>
    <xf numFmtId="10" fontId="0" fillId="0" borderId="11" xfId="2" applyNumberFormat="1" applyFont="1" applyBorder="1"/>
    <xf numFmtId="0" fontId="53" fillId="0" borderId="91" xfId="7" applyFont="1" applyBorder="1" applyAlignment="1">
      <alignment horizontal="justify" vertical="center" wrapText="1"/>
    </xf>
    <xf numFmtId="0" fontId="53" fillId="0" borderId="92" xfId="7" applyFont="1" applyBorder="1" applyAlignment="1">
      <alignment horizontal="justify" vertical="center" wrapText="1"/>
    </xf>
    <xf numFmtId="0" fontId="53" fillId="0" borderId="31" xfId="7" applyFont="1" applyBorder="1"/>
    <xf numFmtId="0" fontId="53" fillId="0" borderId="32" xfId="7" applyFont="1" applyBorder="1"/>
    <xf numFmtId="0" fontId="38" fillId="0" borderId="77" xfId="7" applyBorder="1"/>
    <xf numFmtId="0" fontId="38" fillId="0" borderId="62" xfId="7" applyBorder="1"/>
    <xf numFmtId="0" fontId="56" fillId="0" borderId="55" xfId="7" applyFont="1" applyBorder="1" applyAlignment="1">
      <alignment horizontal="justify" vertical="center" wrapText="1"/>
    </xf>
    <xf numFmtId="0" fontId="56" fillId="0" borderId="54" xfId="7" applyFont="1" applyBorder="1" applyAlignment="1">
      <alignment horizontal="justify" vertical="center" wrapText="1"/>
    </xf>
    <xf numFmtId="0" fontId="38" fillId="0" borderId="71" xfId="7" applyBorder="1"/>
    <xf numFmtId="0" fontId="38" fillId="0" borderId="58" xfId="7" applyBorder="1"/>
    <xf numFmtId="0" fontId="53" fillId="28" borderId="91" xfId="7" applyFont="1" applyFill="1" applyBorder="1" applyAlignment="1">
      <alignment horizontal="justify" vertical="center" wrapText="1"/>
    </xf>
    <xf numFmtId="0" fontId="53" fillId="28" borderId="92" xfId="7" applyFont="1" applyFill="1" applyBorder="1" applyAlignment="1">
      <alignment horizontal="justify" vertical="center" wrapText="1"/>
    </xf>
    <xf numFmtId="0" fontId="53" fillId="0" borderId="45" xfId="7" applyFont="1" applyBorder="1"/>
    <xf numFmtId="0" fontId="53" fillId="0" borderId="46" xfId="7" applyFont="1" applyBorder="1"/>
    <xf numFmtId="0" fontId="53" fillId="29" borderId="91" xfId="7" applyFont="1" applyFill="1" applyBorder="1" applyAlignment="1">
      <alignment horizontal="justify" vertical="center" wrapText="1"/>
    </xf>
    <xf numFmtId="0" fontId="53" fillId="29" borderId="92" xfId="7" applyFont="1" applyFill="1" applyBorder="1" applyAlignment="1">
      <alignment horizontal="justify" vertical="center" wrapText="1"/>
    </xf>
    <xf numFmtId="0" fontId="38" fillId="11" borderId="55" xfId="7" applyFill="1" applyBorder="1" applyAlignment="1">
      <alignment vertical="center"/>
    </xf>
    <xf numFmtId="4" fontId="21" fillId="11" borderId="55" xfId="7" applyNumberFormat="1" applyFont="1" applyFill="1" applyBorder="1" applyAlignment="1">
      <alignment horizontal="justify" vertical="center" wrapText="1"/>
    </xf>
    <xf numFmtId="0" fontId="63" fillId="0" borderId="77" xfId="7" applyFont="1" applyBorder="1" applyAlignment="1">
      <alignment horizontal="left" vertical="center" wrapText="1"/>
    </xf>
    <xf numFmtId="0" fontId="63" fillId="0" borderId="62" xfId="7" applyFont="1" applyBorder="1" applyAlignment="1">
      <alignment horizontal="left" vertical="center" wrapText="1"/>
    </xf>
    <xf numFmtId="0" fontId="56" fillId="0" borderId="63" xfId="7" applyFont="1" applyBorder="1" applyAlignment="1">
      <alignment horizontal="justify" vertical="center" wrapText="1"/>
    </xf>
    <xf numFmtId="0" fontId="38" fillId="0" borderId="57" xfId="7" applyBorder="1"/>
    <xf numFmtId="0" fontId="57" fillId="30" borderId="55" xfId="7" applyFont="1" applyFill="1" applyBorder="1" applyAlignment="1">
      <alignment horizontal="center" vertical="center" wrapText="1"/>
    </xf>
    <xf numFmtId="0" fontId="53" fillId="11" borderId="55" xfId="7" applyFont="1" applyFill="1" applyBorder="1" applyAlignment="1">
      <alignment horizontal="justify" vertical="center" wrapText="1"/>
    </xf>
    <xf numFmtId="0" fontId="53" fillId="11" borderId="54" xfId="7" applyFont="1" applyFill="1" applyBorder="1" applyAlignment="1">
      <alignment horizontal="center" vertical="center" wrapText="1"/>
    </xf>
    <xf numFmtId="0" fontId="53" fillId="11" borderId="57" xfId="7" applyFont="1" applyFill="1" applyBorder="1" applyAlignment="1">
      <alignment horizontal="center" vertical="center" wrapText="1"/>
    </xf>
    <xf numFmtId="0" fontId="53" fillId="11" borderId="55" xfId="7" applyFont="1" applyFill="1" applyBorder="1" applyAlignment="1">
      <alignment horizontal="center"/>
    </xf>
    <xf numFmtId="0" fontId="38" fillId="0" borderId="55" xfId="7" applyBorder="1"/>
    <xf numFmtId="0" fontId="38" fillId="0" borderId="63" xfId="7" applyBorder="1"/>
    <xf numFmtId="0" fontId="56" fillId="0" borderId="55" xfId="7" applyFont="1" applyBorder="1" applyAlignment="1">
      <alignment horizontal="center" vertical="center" wrapText="1"/>
    </xf>
    <xf numFmtId="0" fontId="55" fillId="0" borderId="77" xfId="7" applyFont="1" applyBorder="1" applyAlignment="1">
      <alignment horizontal="left" vertical="center" wrapText="1"/>
    </xf>
    <xf numFmtId="0" fontId="55" fillId="0" borderId="62" xfId="7" applyFont="1" applyBorder="1" applyAlignment="1">
      <alignment horizontal="left" vertical="center" wrapText="1"/>
    </xf>
    <xf numFmtId="0" fontId="62" fillId="0" borderId="63" xfId="7" applyFont="1" applyBorder="1" applyAlignment="1">
      <alignment horizontal="justify" vertical="center" wrapText="1"/>
    </xf>
    <xf numFmtId="0" fontId="56" fillId="0" borderId="57" xfId="7" applyFont="1" applyBorder="1" applyAlignment="1">
      <alignment horizontal="center" vertical="center" wrapText="1"/>
    </xf>
    <xf numFmtId="0" fontId="38" fillId="0" borderId="56" xfId="7" applyBorder="1"/>
    <xf numFmtId="0" fontId="59" fillId="12" borderId="32" xfId="7" applyFont="1" applyFill="1" applyBorder="1" applyAlignment="1">
      <alignment horizontal="center" vertical="center" wrapText="1"/>
    </xf>
    <xf numFmtId="0" fontId="59" fillId="12" borderId="33" xfId="7" applyFont="1" applyFill="1" applyBorder="1" applyAlignment="1">
      <alignment horizontal="center" vertical="center" wrapText="1"/>
    </xf>
    <xf numFmtId="0" fontId="38" fillId="0" borderId="8" xfId="7" applyBorder="1"/>
    <xf numFmtId="0" fontId="38" fillId="0" borderId="0" xfId="7"/>
    <xf numFmtId="0" fontId="38" fillId="0" borderId="26" xfId="7" applyBorder="1"/>
    <xf numFmtId="0" fontId="56" fillId="0" borderId="58" xfId="7" applyFont="1" applyBorder="1" applyAlignment="1">
      <alignment horizontal="justify" vertical="center" wrapText="1"/>
    </xf>
    <xf numFmtId="0" fontId="56" fillId="0" borderId="57" xfId="7" applyFont="1" applyBorder="1" applyAlignment="1">
      <alignment horizontal="justify" vertical="center" wrapText="1"/>
    </xf>
    <xf numFmtId="0" fontId="56" fillId="0" borderId="61" xfId="7" applyFont="1" applyBorder="1" applyAlignment="1">
      <alignment horizontal="justify" vertical="center" wrapText="1"/>
    </xf>
    <xf numFmtId="0" fontId="56" fillId="0" borderId="46" xfId="7" applyFont="1" applyBorder="1" applyAlignment="1">
      <alignment horizontal="justify" vertical="center" wrapText="1"/>
    </xf>
    <xf numFmtId="0" fontId="56" fillId="0" borderId="47" xfId="7" applyFont="1" applyBorder="1" applyAlignment="1">
      <alignment horizontal="justify" vertical="center" wrapText="1"/>
    </xf>
    <xf numFmtId="0" fontId="56" fillId="0" borderId="0" xfId="7" applyFont="1" applyAlignment="1">
      <alignment horizontal="justify" vertical="center" wrapText="1"/>
    </xf>
    <xf numFmtId="0" fontId="56" fillId="0" borderId="26" xfId="7" applyFont="1" applyBorder="1" applyAlignment="1">
      <alignment horizontal="justify" vertical="center" wrapText="1"/>
    </xf>
    <xf numFmtId="0" fontId="53" fillId="11" borderId="55" xfId="7" applyFont="1" applyFill="1" applyBorder="1" applyAlignment="1">
      <alignment horizontal="center" vertical="center"/>
    </xf>
    <xf numFmtId="0" fontId="53" fillId="11" borderId="55" xfId="7" applyFont="1" applyFill="1" applyBorder="1" applyAlignment="1">
      <alignment horizontal="center" vertical="center" wrapText="1"/>
    </xf>
    <xf numFmtId="0" fontId="58" fillId="0" borderId="8" xfId="7" applyFont="1" applyBorder="1" applyAlignment="1">
      <alignment horizontal="justify" vertical="center" wrapText="1"/>
    </xf>
    <xf numFmtId="0" fontId="58" fillId="0" borderId="0" xfId="7" applyFont="1" applyAlignment="1">
      <alignment horizontal="justify" vertical="center" wrapText="1"/>
    </xf>
    <xf numFmtId="0" fontId="49" fillId="0" borderId="8" xfId="7" applyFont="1" applyBorder="1" applyAlignment="1">
      <alignment horizontal="justify" vertical="center" wrapText="1"/>
    </xf>
    <xf numFmtId="0" fontId="49" fillId="0" borderId="26" xfId="7" applyFont="1" applyBorder="1" applyAlignment="1">
      <alignment horizontal="justify" vertical="center" wrapText="1"/>
    </xf>
    <xf numFmtId="0" fontId="53" fillId="30" borderId="55" xfId="7" applyFont="1" applyFill="1" applyBorder="1" applyAlignment="1">
      <alignment horizontal="justify" vertical="center" wrapText="1"/>
    </xf>
    <xf numFmtId="0" fontId="49" fillId="0" borderId="87" xfId="7" applyFont="1" applyBorder="1" applyAlignment="1">
      <alignment horizontal="justify" vertical="center" wrapText="1"/>
    </xf>
    <xf numFmtId="0" fontId="49" fillId="0" borderId="66" xfId="7" applyFont="1" applyBorder="1" applyAlignment="1">
      <alignment horizontal="justify" vertical="center" wrapText="1"/>
    </xf>
    <xf numFmtId="0" fontId="38" fillId="0" borderId="87" xfId="7" applyBorder="1"/>
    <xf numFmtId="0" fontId="38" fillId="0" borderId="66" xfId="7" applyBorder="1"/>
    <xf numFmtId="0" fontId="51" fillId="0" borderId="45" xfId="7" applyFont="1" applyBorder="1" applyAlignment="1">
      <alignment horizontal="justify" vertical="center" wrapText="1"/>
    </xf>
    <xf numFmtId="0" fontId="51" fillId="0" borderId="46" xfId="7" applyFont="1" applyBorder="1" applyAlignment="1">
      <alignment horizontal="justify" vertical="center" wrapText="1"/>
    </xf>
    <xf numFmtId="0" fontId="56" fillId="0" borderId="45" xfId="7" applyFont="1" applyBorder="1" applyAlignment="1">
      <alignment horizontal="justify" vertical="center" wrapText="1"/>
    </xf>
    <xf numFmtId="0" fontId="56" fillId="0" borderId="56" xfId="7" applyFont="1" applyBorder="1" applyAlignment="1">
      <alignment horizontal="justify" vertical="center" wrapText="1"/>
    </xf>
    <xf numFmtId="0" fontId="57" fillId="30" borderId="55" xfId="7" applyFont="1" applyFill="1" applyBorder="1" applyAlignment="1">
      <alignment horizontal="justify" vertical="center" wrapText="1"/>
    </xf>
    <xf numFmtId="0" fontId="38" fillId="0" borderId="48" xfId="7" applyBorder="1"/>
    <xf numFmtId="0" fontId="38" fillId="0" borderId="50" xfId="7" applyBorder="1"/>
    <xf numFmtId="0" fontId="56" fillId="0" borderId="87" xfId="7" applyFont="1" applyBorder="1" applyAlignment="1">
      <alignment horizontal="justify" vertical="center" wrapText="1"/>
    </xf>
    <xf numFmtId="0" fontId="56" fillId="0" borderId="77" xfId="7" applyFont="1" applyBorder="1" applyAlignment="1">
      <alignment horizontal="justify" vertical="center" wrapText="1"/>
    </xf>
    <xf numFmtId="0" fontId="56" fillId="0" borderId="67" xfId="7" applyFont="1" applyBorder="1" applyAlignment="1">
      <alignment horizontal="justify" vertical="center" wrapText="1"/>
    </xf>
    <xf numFmtId="0" fontId="56" fillId="0" borderId="78" xfId="7" applyFont="1" applyBorder="1" applyAlignment="1">
      <alignment horizontal="justify" vertical="center" wrapText="1"/>
    </xf>
    <xf numFmtId="0" fontId="57" fillId="30" borderId="88" xfId="7" applyFont="1" applyFill="1" applyBorder="1" applyAlignment="1">
      <alignment horizontal="center" vertical="center" wrapText="1"/>
    </xf>
    <xf numFmtId="0" fontId="57" fillId="30" borderId="63" xfId="7" applyFont="1" applyFill="1" applyBorder="1" applyAlignment="1">
      <alignment horizontal="center" vertical="center" wrapText="1"/>
    </xf>
    <xf numFmtId="0" fontId="57" fillId="30" borderId="90" xfId="7" applyFont="1" applyFill="1" applyBorder="1" applyAlignment="1">
      <alignment horizontal="center" vertical="center" wrapText="1"/>
    </xf>
    <xf numFmtId="0" fontId="57" fillId="30" borderId="65" xfId="7" applyFont="1" applyFill="1" applyBorder="1" applyAlignment="1">
      <alignment horizontal="center" vertical="center" wrapText="1"/>
    </xf>
    <xf numFmtId="0" fontId="57" fillId="30" borderId="66" xfId="7" applyFont="1" applyFill="1" applyBorder="1" applyAlignment="1">
      <alignment horizontal="center" vertical="center" wrapText="1"/>
    </xf>
    <xf numFmtId="0" fontId="57" fillId="30" borderId="80" xfId="7" applyFont="1" applyFill="1" applyBorder="1" applyAlignment="1">
      <alignment horizontal="center" vertical="center" wrapText="1"/>
    </xf>
    <xf numFmtId="0" fontId="53" fillId="11" borderId="67" xfId="7" applyFont="1" applyFill="1" applyBorder="1" applyAlignment="1">
      <alignment horizontal="center" vertical="center" wrapText="1"/>
    </xf>
    <xf numFmtId="0" fontId="53" fillId="11" borderId="78" xfId="7" applyFont="1" applyFill="1" applyBorder="1" applyAlignment="1">
      <alignment horizontal="center" vertical="center" wrapText="1"/>
    </xf>
    <xf numFmtId="0" fontId="53" fillId="11" borderId="69" xfId="7" applyFont="1" applyFill="1" applyBorder="1" applyAlignment="1">
      <alignment horizontal="center" vertical="center" wrapText="1"/>
    </xf>
    <xf numFmtId="0" fontId="53" fillId="11" borderId="56" xfId="7" applyFont="1" applyFill="1" applyBorder="1" applyAlignment="1">
      <alignment horizontal="center" vertical="center" wrapText="1"/>
    </xf>
    <xf numFmtId="0" fontId="38" fillId="0" borderId="86" xfId="7" applyBorder="1" applyAlignment="1">
      <alignment horizontal="center"/>
    </xf>
    <xf numFmtId="0" fontId="38" fillId="0" borderId="87" xfId="7" applyBorder="1" applyAlignment="1">
      <alignment horizontal="center"/>
    </xf>
    <xf numFmtId="0" fontId="38" fillId="0" borderId="89" xfId="7" applyBorder="1" applyAlignment="1">
      <alignment horizontal="center"/>
    </xf>
    <xf numFmtId="0" fontId="38" fillId="0" borderId="88" xfId="7" applyBorder="1" applyAlignment="1">
      <alignment horizontal="center"/>
    </xf>
    <xf numFmtId="0" fontId="38" fillId="0" borderId="63" xfId="7" applyBorder="1" applyAlignment="1">
      <alignment horizontal="center"/>
    </xf>
    <xf numFmtId="0" fontId="38" fillId="0" borderId="90" xfId="7" applyBorder="1" applyAlignment="1">
      <alignment horizontal="center"/>
    </xf>
    <xf numFmtId="0" fontId="56" fillId="0" borderId="86" xfId="7" applyFont="1" applyBorder="1" applyAlignment="1">
      <alignment horizontal="justify" vertical="center" wrapText="1"/>
    </xf>
    <xf numFmtId="0" fontId="56" fillId="0" borderId="65" xfId="7" applyFont="1" applyBorder="1" applyAlignment="1">
      <alignment horizontal="justify" vertical="center" wrapText="1"/>
    </xf>
    <xf numFmtId="0" fontId="53" fillId="0" borderId="54" xfId="7" applyFont="1" applyBorder="1" applyAlignment="1">
      <alignment horizontal="center" vertical="center" wrapText="1"/>
    </xf>
    <xf numFmtId="0" fontId="53" fillId="0" borderId="57" xfId="7" applyFont="1" applyBorder="1" applyAlignment="1">
      <alignment horizontal="center" vertical="center" wrapText="1"/>
    </xf>
    <xf numFmtId="0" fontId="56" fillId="0" borderId="46" xfId="7" applyFont="1" applyBorder="1" applyAlignment="1">
      <alignment horizontal="center" vertical="center" wrapText="1"/>
    </xf>
    <xf numFmtId="0" fontId="56" fillId="0" borderId="0" xfId="7" applyFont="1" applyAlignment="1">
      <alignment horizontal="center" vertical="center" wrapText="1"/>
    </xf>
    <xf numFmtId="0" fontId="56" fillId="0" borderId="49" xfId="7" applyFont="1" applyBorder="1" applyAlignment="1">
      <alignment horizontal="center" vertical="center" wrapText="1"/>
    </xf>
    <xf numFmtId="0" fontId="38" fillId="0" borderId="61" xfId="7" applyBorder="1" applyAlignment="1">
      <alignment horizontal="center"/>
    </xf>
    <xf numFmtId="0" fontId="38" fillId="0" borderId="62" xfId="7" applyBorder="1" applyAlignment="1">
      <alignment horizontal="center"/>
    </xf>
    <xf numFmtId="0" fontId="38" fillId="0" borderId="58" xfId="7" applyBorder="1" applyAlignment="1">
      <alignment horizontal="center"/>
    </xf>
    <xf numFmtId="0" fontId="38" fillId="0" borderId="54" xfId="7" applyBorder="1" applyAlignment="1">
      <alignment horizontal="center"/>
    </xf>
    <xf numFmtId="0" fontId="38" fillId="0" borderId="57" xfId="7" applyBorder="1" applyAlignment="1">
      <alignment horizontal="center"/>
    </xf>
    <xf numFmtId="0" fontId="57" fillId="30" borderId="54" xfId="7" applyFont="1" applyFill="1" applyBorder="1" applyAlignment="1">
      <alignment horizontal="center" vertical="center" wrapText="1"/>
    </xf>
    <xf numFmtId="0" fontId="57" fillId="30" borderId="57" xfId="7" applyFont="1" applyFill="1" applyBorder="1" applyAlignment="1">
      <alignment horizontal="center" vertical="center" wrapText="1"/>
    </xf>
    <xf numFmtId="0" fontId="53" fillId="11" borderId="63" xfId="7" applyFont="1" applyFill="1" applyBorder="1" applyAlignment="1">
      <alignment horizontal="center" vertical="center" wrapText="1"/>
    </xf>
    <xf numFmtId="0" fontId="38" fillId="0" borderId="45" xfId="7" applyBorder="1" applyAlignment="1">
      <alignment horizontal="center"/>
    </xf>
    <xf numFmtId="0" fontId="38" fillId="0" borderId="47" xfId="7" applyBorder="1" applyAlignment="1">
      <alignment horizontal="center"/>
    </xf>
    <xf numFmtId="0" fontId="38" fillId="0" borderId="48" xfId="7" applyBorder="1" applyAlignment="1">
      <alignment horizontal="center"/>
    </xf>
    <xf numFmtId="0" fontId="38" fillId="0" borderId="50" xfId="7" applyBorder="1" applyAlignment="1">
      <alignment horizontal="center"/>
    </xf>
    <xf numFmtId="0" fontId="56" fillId="0" borderId="67" xfId="7" applyFont="1" applyBorder="1" applyAlignment="1">
      <alignment horizontal="center" vertical="center" wrapText="1"/>
    </xf>
    <xf numFmtId="0" fontId="56" fillId="0" borderId="69" xfId="7" applyFont="1" applyBorder="1" applyAlignment="1">
      <alignment horizontal="center" vertical="center" wrapText="1"/>
    </xf>
    <xf numFmtId="0" fontId="53" fillId="0" borderId="68" xfId="7" applyFont="1" applyBorder="1" applyAlignment="1">
      <alignment horizontal="center" vertical="center" wrapText="1"/>
    </xf>
    <xf numFmtId="0" fontId="53" fillId="0" borderId="70" xfId="7" applyFont="1" applyBorder="1" applyAlignment="1">
      <alignment horizontal="center" vertical="center" wrapText="1"/>
    </xf>
    <xf numFmtId="0" fontId="53" fillId="31" borderId="54" xfId="7" applyFont="1" applyFill="1" applyBorder="1" applyAlignment="1">
      <alignment horizontal="center" vertical="center" wrapText="1"/>
    </xf>
    <xf numFmtId="0" fontId="53" fillId="31" borderId="57" xfId="7" applyFont="1" applyFill="1" applyBorder="1" applyAlignment="1">
      <alignment horizontal="center" vertical="center" wrapText="1"/>
    </xf>
    <xf numFmtId="0" fontId="53" fillId="30" borderId="54" xfId="7" applyFont="1" applyFill="1" applyBorder="1" applyAlignment="1">
      <alignment horizontal="center" vertical="center" wrapText="1"/>
    </xf>
    <xf numFmtId="0" fontId="53" fillId="30" borderId="57" xfId="7" applyFont="1" applyFill="1" applyBorder="1" applyAlignment="1">
      <alignment horizontal="center" vertical="center" wrapText="1"/>
    </xf>
    <xf numFmtId="0" fontId="53" fillId="0" borderId="55" xfId="7" applyFont="1" applyBorder="1" applyAlignment="1">
      <alignment horizontal="justify" vertical="center" wrapText="1"/>
    </xf>
    <xf numFmtId="0" fontId="53" fillId="0" borderId="63" xfId="7" applyFont="1" applyBorder="1" applyAlignment="1">
      <alignment horizontal="center" vertical="center" wrapText="1"/>
    </xf>
    <xf numFmtId="0" fontId="59" fillId="33" borderId="83" xfId="7" applyFont="1" applyFill="1" applyBorder="1" applyAlignment="1">
      <alignment horizontal="center" vertical="center" wrapText="1"/>
    </xf>
    <xf numFmtId="0" fontId="59" fillId="33" borderId="84" xfId="7" applyFont="1" applyFill="1" applyBorder="1" applyAlignment="1">
      <alignment horizontal="center" vertical="center" wrapText="1"/>
    </xf>
    <xf numFmtId="0" fontId="59" fillId="33" borderId="85" xfId="7" applyFont="1" applyFill="1" applyBorder="1" applyAlignment="1">
      <alignment horizontal="center" vertical="center" wrapText="1"/>
    </xf>
    <xf numFmtId="0" fontId="60" fillId="0" borderId="59" xfId="7" applyFont="1" applyBorder="1" applyAlignment="1">
      <alignment horizontal="justify" vertical="center" wrapText="1"/>
    </xf>
    <xf numFmtId="0" fontId="60" fillId="0" borderId="60" xfId="7" applyFont="1" applyBorder="1" applyAlignment="1">
      <alignment horizontal="justify" vertical="center" wrapText="1"/>
    </xf>
    <xf numFmtId="0" fontId="60" fillId="0" borderId="77" xfId="7" applyFont="1" applyBorder="1" applyAlignment="1">
      <alignment horizontal="justify" vertical="center" wrapText="1"/>
    </xf>
    <xf numFmtId="0" fontId="60" fillId="0" borderId="0" xfId="7" applyFont="1" applyAlignment="1">
      <alignment horizontal="justify" vertical="center" wrapText="1"/>
    </xf>
    <xf numFmtId="0" fontId="38" fillId="31" borderId="55" xfId="7" applyFill="1" applyBorder="1"/>
    <xf numFmtId="0" fontId="53" fillId="30" borderId="55" xfId="7" applyFont="1" applyFill="1" applyBorder="1" applyAlignment="1">
      <alignment horizontal="center" vertical="center" wrapText="1"/>
    </xf>
    <xf numFmtId="0" fontId="49" fillId="0" borderId="63" xfId="7" applyFont="1" applyBorder="1" applyAlignment="1">
      <alignment horizontal="justify" vertical="center" wrapText="1"/>
    </xf>
    <xf numFmtId="4" fontId="21" fillId="0" borderId="55" xfId="7" applyNumberFormat="1" applyFont="1" applyBorder="1" applyAlignment="1">
      <alignment horizontal="justify" vertical="center" wrapText="1"/>
    </xf>
    <xf numFmtId="0" fontId="53" fillId="0" borderId="55" xfId="7" applyFont="1" applyBorder="1" applyAlignment="1">
      <alignment horizontal="center"/>
    </xf>
    <xf numFmtId="0" fontId="50" fillId="0" borderId="77" xfId="7" applyFont="1" applyBorder="1" applyAlignment="1">
      <alignment horizontal="justify" vertical="center" wrapText="1"/>
    </xf>
    <xf numFmtId="0" fontId="50" fillId="0" borderId="62" xfId="7" applyFont="1" applyBorder="1" applyAlignment="1">
      <alignment horizontal="justify" vertical="center" wrapText="1"/>
    </xf>
    <xf numFmtId="0" fontId="50" fillId="0" borderId="0" xfId="7" applyFont="1" applyAlignment="1">
      <alignment horizontal="justify" vertical="center" wrapText="1"/>
    </xf>
    <xf numFmtId="0" fontId="55" fillId="0" borderId="59" xfId="7" applyFont="1" applyBorder="1" applyAlignment="1">
      <alignment horizontal="justify" vertical="center" wrapText="1"/>
    </xf>
    <xf numFmtId="0" fontId="55" fillId="0" borderId="60" xfId="7" applyFont="1" applyBorder="1" applyAlignment="1">
      <alignment horizontal="justify" vertical="center" wrapText="1"/>
    </xf>
    <xf numFmtId="0" fontId="56" fillId="0" borderId="8" xfId="7" applyFont="1" applyBorder="1" applyAlignment="1">
      <alignment horizontal="justify" vertical="center" wrapText="1"/>
    </xf>
    <xf numFmtId="0" fontId="38" fillId="0" borderId="73" xfId="7" applyBorder="1"/>
    <xf numFmtId="0" fontId="56" fillId="0" borderId="45" xfId="7" applyFont="1" applyBorder="1" applyAlignment="1">
      <alignment horizontal="center" vertical="center" wrapText="1"/>
    </xf>
    <xf numFmtId="0" fontId="56" fillId="0" borderId="47" xfId="7" applyFont="1" applyBorder="1" applyAlignment="1">
      <alignment horizontal="center" vertical="center" wrapText="1"/>
    </xf>
    <xf numFmtId="0" fontId="56" fillId="0" borderId="48" xfId="7" applyFont="1" applyBorder="1" applyAlignment="1">
      <alignment horizontal="center" vertical="center" wrapText="1"/>
    </xf>
    <xf numFmtId="0" fontId="56" fillId="0" borderId="50" xfId="7" applyFont="1" applyBorder="1" applyAlignment="1">
      <alignment horizontal="center" vertical="center" wrapText="1"/>
    </xf>
    <xf numFmtId="0" fontId="38" fillId="31" borderId="56" xfId="7" applyFill="1" applyBorder="1"/>
    <xf numFmtId="0" fontId="54" fillId="29" borderId="77" xfId="7" applyFont="1" applyFill="1" applyBorder="1" applyAlignment="1">
      <alignment horizontal="center" vertical="center" wrapText="1"/>
    </xf>
    <xf numFmtId="0" fontId="54" fillId="29" borderId="0" xfId="7" applyFont="1" applyFill="1" applyAlignment="1">
      <alignment horizontal="center" vertical="center" wrapText="1"/>
    </xf>
    <xf numFmtId="0" fontId="54" fillId="29" borderId="46" xfId="7" applyFont="1" applyFill="1" applyBorder="1" applyAlignment="1">
      <alignment horizontal="center" vertical="center" wrapText="1"/>
    </xf>
    <xf numFmtId="0" fontId="54" fillId="29" borderId="64" xfId="7" applyFont="1" applyFill="1" applyBorder="1" applyAlignment="1">
      <alignment horizontal="center" vertical="center" wrapText="1"/>
    </xf>
    <xf numFmtId="0" fontId="38" fillId="30" borderId="55" xfId="7" applyFill="1" applyBorder="1"/>
    <xf numFmtId="0" fontId="53" fillId="11" borderId="2" xfId="7" applyFont="1" applyFill="1" applyBorder="1" applyAlignment="1">
      <alignment horizontal="center" vertical="center" wrapText="1"/>
    </xf>
    <xf numFmtId="0" fontId="53" fillId="11" borderId="2" xfId="7" applyFont="1" applyFill="1" applyBorder="1" applyAlignment="1">
      <alignment horizontal="center" vertical="center"/>
    </xf>
    <xf numFmtId="0" fontId="38" fillId="11" borderId="2" xfId="7" applyFill="1" applyBorder="1" applyAlignment="1">
      <alignment vertical="center"/>
    </xf>
    <xf numFmtId="4" fontId="21" fillId="11" borderId="7" xfId="7" applyNumberFormat="1" applyFont="1" applyFill="1" applyBorder="1" applyAlignment="1">
      <alignment horizontal="justify" vertical="center" wrapText="1"/>
    </xf>
    <xf numFmtId="0" fontId="49" fillId="0" borderId="0" xfId="7" applyFont="1" applyAlignment="1">
      <alignment horizontal="justify" vertical="center" wrapText="1"/>
    </xf>
    <xf numFmtId="0" fontId="53" fillId="30" borderId="2" xfId="7" applyFont="1" applyFill="1" applyBorder="1" applyAlignment="1">
      <alignment horizontal="center" vertical="center" wrapText="1"/>
    </xf>
    <xf numFmtId="0" fontId="38" fillId="31" borderId="2" xfId="7" applyFill="1" applyBorder="1"/>
    <xf numFmtId="0" fontId="38" fillId="0" borderId="2" xfId="7" applyBorder="1"/>
    <xf numFmtId="0" fontId="53" fillId="11" borderId="2" xfId="7" applyFont="1" applyFill="1" applyBorder="1" applyAlignment="1">
      <alignment horizontal="justify" vertical="center" wrapText="1"/>
    </xf>
    <xf numFmtId="0" fontId="56" fillId="0" borderId="41" xfId="7" applyFont="1" applyBorder="1" applyAlignment="1">
      <alignment horizontal="justify" vertical="center" wrapText="1"/>
    </xf>
    <xf numFmtId="0" fontId="56" fillId="0" borderId="1" xfId="7" applyFont="1" applyBorder="1" applyAlignment="1">
      <alignment horizontal="justify" vertical="center" wrapText="1"/>
    </xf>
    <xf numFmtId="0" fontId="53" fillId="30" borderId="2" xfId="7" applyFont="1" applyFill="1" applyBorder="1" applyAlignment="1">
      <alignment horizontal="justify" vertical="center" wrapText="1"/>
    </xf>
    <xf numFmtId="0" fontId="53" fillId="11" borderId="2" xfId="7" applyFont="1" applyFill="1" applyBorder="1" applyAlignment="1">
      <alignment horizontal="center"/>
    </xf>
    <xf numFmtId="0" fontId="50" fillId="0" borderId="8" xfId="7" applyFont="1" applyBorder="1" applyAlignment="1">
      <alignment horizontal="justify" vertical="center" wrapText="1"/>
    </xf>
    <xf numFmtId="0" fontId="50" fillId="0" borderId="26" xfId="7" applyFont="1" applyBorder="1" applyAlignment="1">
      <alignment horizontal="justify" vertical="center" wrapText="1"/>
    </xf>
    <xf numFmtId="0" fontId="38" fillId="0" borderId="1" xfId="7" applyBorder="1"/>
    <xf numFmtId="0" fontId="49" fillId="0" borderId="1" xfId="7" applyFont="1" applyBorder="1" applyAlignment="1">
      <alignment horizontal="justify" vertical="center" wrapText="1"/>
    </xf>
    <xf numFmtId="0" fontId="49" fillId="0" borderId="2" xfId="7" applyFont="1" applyBorder="1" applyAlignment="1">
      <alignment horizontal="justify" vertical="center" wrapText="1"/>
    </xf>
    <xf numFmtId="0" fontId="56" fillId="0" borderId="39" xfId="7" applyFont="1" applyBorder="1" applyAlignment="1">
      <alignment horizontal="justify" vertical="center" wrapText="1"/>
    </xf>
    <xf numFmtId="0" fontId="56" fillId="0" borderId="4" xfId="7" applyFont="1" applyBorder="1" applyAlignment="1">
      <alignment horizontal="justify" vertical="center" wrapText="1"/>
    </xf>
    <xf numFmtId="0" fontId="38" fillId="0" borderId="14" xfId="7" applyBorder="1"/>
    <xf numFmtId="0" fontId="53" fillId="0" borderId="14" xfId="7" applyFont="1" applyBorder="1" applyAlignment="1">
      <alignment horizontal="justify" vertical="center" wrapText="1"/>
    </xf>
    <xf numFmtId="0" fontId="53" fillId="0" borderId="2" xfId="7" applyFont="1" applyBorder="1" applyAlignment="1">
      <alignment horizontal="justify" vertical="center" wrapText="1"/>
    </xf>
    <xf numFmtId="0" fontId="53" fillId="0" borderId="14" xfId="7" applyFont="1" applyBorder="1" applyAlignment="1">
      <alignment horizontal="center" vertical="center" wrapText="1"/>
    </xf>
    <xf numFmtId="0" fontId="53" fillId="0" borderId="2" xfId="7" applyFont="1" applyBorder="1" applyAlignment="1">
      <alignment horizontal="center" vertical="center" wrapText="1"/>
    </xf>
    <xf numFmtId="4" fontId="21" fillId="0" borderId="12" xfId="7" applyNumberFormat="1" applyFont="1" applyBorder="1" applyAlignment="1">
      <alignment horizontal="justify" vertical="center" wrapText="1"/>
    </xf>
    <xf numFmtId="4" fontId="21" fillId="0" borderId="7" xfId="7" applyNumberFormat="1" applyFont="1" applyBorder="1" applyAlignment="1">
      <alignment horizontal="justify" vertical="center" wrapText="1"/>
    </xf>
    <xf numFmtId="0" fontId="56" fillId="0" borderId="14" xfId="7" applyFont="1" applyBorder="1" applyAlignment="1">
      <alignment horizontal="justify" vertical="center" wrapText="1"/>
    </xf>
    <xf numFmtId="0" fontId="56" fillId="0" borderId="2" xfId="7" applyFont="1" applyBorder="1" applyAlignment="1">
      <alignment horizontal="justify" vertical="center" wrapText="1"/>
    </xf>
    <xf numFmtId="0" fontId="57" fillId="30" borderId="14" xfId="7" applyFont="1" applyFill="1" applyBorder="1" applyAlignment="1">
      <alignment horizontal="center" vertical="center" wrapText="1"/>
    </xf>
    <xf numFmtId="0" fontId="57" fillId="30" borderId="2" xfId="7" applyFont="1" applyFill="1" applyBorder="1" applyAlignment="1">
      <alignment horizontal="center" vertical="center" wrapText="1"/>
    </xf>
    <xf numFmtId="0" fontId="49" fillId="0" borderId="79" xfId="7" applyFont="1" applyBorder="1" applyAlignment="1">
      <alignment horizontal="justify" vertical="center" wrapText="1"/>
    </xf>
    <xf numFmtId="0" fontId="49" fillId="0" borderId="80" xfId="7" applyFont="1" applyBorder="1" applyAlignment="1">
      <alignment horizontal="justify" vertical="center" wrapText="1"/>
    </xf>
    <xf numFmtId="0" fontId="55" fillId="0" borderId="8" xfId="7" applyFont="1" applyBorder="1" applyAlignment="1">
      <alignment horizontal="justify" vertical="center" wrapText="1"/>
    </xf>
    <xf numFmtId="0" fontId="55" fillId="0" borderId="26" xfId="7" applyFont="1" applyBorder="1" applyAlignment="1">
      <alignment horizontal="justify" vertical="center" wrapText="1"/>
    </xf>
    <xf numFmtId="0" fontId="56" fillId="0" borderId="81" xfId="7" applyFont="1" applyBorder="1" applyAlignment="1">
      <alignment horizontal="justify" vertical="center" wrapText="1"/>
    </xf>
    <xf numFmtId="0" fontId="38" fillId="0" borderId="54" xfId="7" applyBorder="1"/>
    <xf numFmtId="0" fontId="53" fillId="11" borderId="54" xfId="7" applyFont="1" applyFill="1" applyBorder="1" applyAlignment="1">
      <alignment horizontal="justify" vertical="center" wrapText="1"/>
    </xf>
    <xf numFmtId="0" fontId="53" fillId="11" borderId="54" xfId="7" applyFont="1" applyFill="1" applyBorder="1" applyAlignment="1">
      <alignment horizontal="center" vertical="center"/>
    </xf>
    <xf numFmtId="0" fontId="38" fillId="11" borderId="54" xfId="7" applyFill="1" applyBorder="1" applyAlignment="1">
      <alignment vertical="center"/>
    </xf>
    <xf numFmtId="4" fontId="21" fillId="11" borderId="54" xfId="7" applyNumberFormat="1" applyFont="1" applyFill="1" applyBorder="1" applyAlignment="1">
      <alignment horizontal="justify" vertical="center" wrapText="1"/>
    </xf>
    <xf numFmtId="0" fontId="38" fillId="0" borderId="61" xfId="7" applyBorder="1"/>
    <xf numFmtId="0" fontId="38" fillId="0" borderId="49" xfId="7" applyBorder="1"/>
    <xf numFmtId="0" fontId="56" fillId="0" borderId="64" xfId="7" applyFont="1" applyBorder="1" applyAlignment="1">
      <alignment horizontal="justify" vertical="center" wrapText="1"/>
    </xf>
    <xf numFmtId="0" fontId="56" fillId="0" borderId="76" xfId="7" applyFont="1" applyBorder="1" applyAlignment="1">
      <alignment horizontal="justify" vertical="center" wrapText="1"/>
    </xf>
    <xf numFmtId="0" fontId="51" fillId="0" borderId="59" xfId="7" applyFont="1" applyBorder="1" applyAlignment="1">
      <alignment horizontal="center" vertical="center" wrapText="1"/>
    </xf>
    <xf numFmtId="0" fontId="51" fillId="0" borderId="71" xfId="7" applyFont="1" applyBorder="1" applyAlignment="1">
      <alignment horizontal="center" vertical="center" wrapText="1"/>
    </xf>
    <xf numFmtId="0" fontId="51" fillId="0" borderId="67" xfId="7" applyFont="1" applyBorder="1" applyAlignment="1">
      <alignment horizontal="center" vertical="center" wrapText="1"/>
    </xf>
    <xf numFmtId="0" fontId="51" fillId="0" borderId="69" xfId="7" applyFont="1" applyBorder="1" applyAlignment="1">
      <alignment horizontal="center" vertical="center" wrapText="1"/>
    </xf>
    <xf numFmtId="0" fontId="49" fillId="0" borderId="45" xfId="7" applyFont="1" applyBorder="1" applyAlignment="1">
      <alignment horizontal="center" vertical="center" wrapText="1"/>
    </xf>
    <xf numFmtId="0" fontId="49" fillId="0" borderId="47" xfId="7" applyFont="1" applyBorder="1" applyAlignment="1">
      <alignment horizontal="center" vertical="center" wrapText="1"/>
    </xf>
    <xf numFmtId="0" fontId="49" fillId="0" borderId="48" xfId="7" applyFont="1" applyBorder="1" applyAlignment="1">
      <alignment horizontal="center" vertical="center" wrapText="1"/>
    </xf>
    <xf numFmtId="0" fontId="49" fillId="0" borderId="50" xfId="7" applyFont="1" applyBorder="1" applyAlignment="1">
      <alignment horizontal="center" vertical="center" wrapText="1"/>
    </xf>
    <xf numFmtId="0" fontId="57" fillId="30" borderId="68" xfId="7" applyFont="1" applyFill="1" applyBorder="1" applyAlignment="1">
      <alignment horizontal="center" vertical="center" wrapText="1"/>
    </xf>
    <xf numFmtId="0" fontId="57" fillId="30" borderId="70" xfId="7" applyFont="1" applyFill="1" applyBorder="1" applyAlignment="1">
      <alignment horizontal="center" vertical="center" wrapText="1"/>
    </xf>
    <xf numFmtId="0" fontId="57" fillId="0" borderId="54" xfId="7" applyFont="1" applyBorder="1" applyAlignment="1">
      <alignment horizontal="center" vertical="center" wrapText="1"/>
    </xf>
    <xf numFmtId="0" fontId="57" fillId="0" borderId="57" xfId="7" applyFont="1" applyBorder="1" applyAlignment="1">
      <alignment horizontal="center" vertical="center" wrapText="1"/>
    </xf>
    <xf numFmtId="0" fontId="51" fillId="0" borderId="60" xfId="7" applyFont="1" applyBorder="1" applyAlignment="1">
      <alignment horizontal="center" vertical="center" wrapText="1"/>
    </xf>
    <xf numFmtId="0" fontId="51" fillId="0" borderId="49" xfId="7" applyFont="1" applyBorder="1" applyAlignment="1">
      <alignment horizontal="center" vertical="center" wrapText="1"/>
    </xf>
    <xf numFmtId="0" fontId="49" fillId="0" borderId="62" xfId="7" applyFont="1" applyBorder="1" applyAlignment="1">
      <alignment horizontal="justify" vertical="center" wrapText="1"/>
    </xf>
    <xf numFmtId="0" fontId="56" fillId="0" borderId="62" xfId="7" applyFont="1" applyBorder="1" applyAlignment="1">
      <alignment horizontal="justify" vertical="center" wrapText="1"/>
    </xf>
    <xf numFmtId="0" fontId="56" fillId="0" borderId="66" xfId="7" applyFont="1" applyBorder="1" applyAlignment="1">
      <alignment horizontal="justify" vertical="center" wrapText="1"/>
    </xf>
    <xf numFmtId="0" fontId="48" fillId="27" borderId="54" xfId="7" applyFont="1" applyFill="1" applyBorder="1" applyAlignment="1">
      <alignment horizontal="center" vertical="center" wrapText="1"/>
    </xf>
    <xf numFmtId="0" fontId="48" fillId="27" borderId="55" xfId="7" applyFont="1" applyFill="1" applyBorder="1" applyAlignment="1">
      <alignment horizontal="center" vertical="center" wrapText="1"/>
    </xf>
    <xf numFmtId="0" fontId="49" fillId="27" borderId="57" xfId="7" applyFont="1" applyFill="1" applyBorder="1" applyAlignment="1">
      <alignment horizontal="left" vertical="center" wrapText="1"/>
    </xf>
    <xf numFmtId="0" fontId="50" fillId="27" borderId="57" xfId="7" applyFont="1" applyFill="1" applyBorder="1" applyAlignment="1">
      <alignment horizontal="center" vertical="center" wrapText="1"/>
    </xf>
    <xf numFmtId="0" fontId="53" fillId="11" borderId="55" xfId="7" applyFont="1" applyFill="1" applyBorder="1" applyAlignment="1">
      <alignment vertical="center" wrapText="1"/>
    </xf>
    <xf numFmtId="0" fontId="54" fillId="28" borderId="59" xfId="7" applyFont="1" applyFill="1" applyBorder="1" applyAlignment="1">
      <alignment horizontal="center" vertical="center" wrapText="1"/>
    </xf>
    <xf numFmtId="0" fontId="54" fillId="28" borderId="60" xfId="7" applyFont="1" applyFill="1" applyBorder="1" applyAlignment="1">
      <alignment horizontal="center" vertical="center" wrapText="1"/>
    </xf>
    <xf numFmtId="0" fontId="54" fillId="28" borderId="61" xfId="7" applyFont="1" applyFill="1" applyBorder="1" applyAlignment="1">
      <alignment horizontal="center" vertical="center" wrapText="1"/>
    </xf>
    <xf numFmtId="0" fontId="55" fillId="0" borderId="45" xfId="7" applyFont="1" applyBorder="1" applyAlignment="1">
      <alignment horizontal="justify" vertical="center" wrapText="1"/>
    </xf>
    <xf numFmtId="0" fontId="55" fillId="0" borderId="47" xfId="7" applyFont="1" applyBorder="1" applyAlignment="1">
      <alignment horizontal="justify" vertical="center" wrapText="1"/>
    </xf>
    <xf numFmtId="0" fontId="3" fillId="0" borderId="0" xfId="0" applyFont="1" applyFill="1" applyBorder="1" applyAlignment="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164" fontId="2" fillId="2" borderId="0" xfId="1" applyFont="1" applyFill="1" applyBorder="1" applyAlignment="1" applyProtection="1">
      <alignment horizontal="center" vertical="center" wrapText="1"/>
      <protection locked="0"/>
    </xf>
    <xf numFmtId="0" fontId="0" fillId="0" borderId="8" xfId="0" applyBorder="1" applyAlignment="1">
      <alignment horizontal="center" wrapText="1"/>
    </xf>
    <xf numFmtId="49" fontId="3" fillId="3" borderId="2" xfId="0" applyNumberFormat="1" applyFont="1" applyFill="1" applyBorder="1" applyAlignment="1" applyProtection="1">
      <alignment horizontal="left" vertical="top" wrapText="1"/>
      <protection locked="0"/>
    </xf>
    <xf numFmtId="164" fontId="3" fillId="3" borderId="2" xfId="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164" fontId="6" fillId="3" borderId="2" xfId="1"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center" wrapText="1"/>
      <protection locked="0"/>
    </xf>
    <xf numFmtId="164" fontId="3" fillId="3" borderId="2" xfId="1" applyFont="1" applyFill="1" applyBorder="1" applyAlignment="1" applyProtection="1">
      <alignment horizontal="left" vertical="center" wrapText="1"/>
      <protection locked="0"/>
    </xf>
    <xf numFmtId="164" fontId="2" fillId="0" borderId="0" xfId="1" applyFont="1" applyFill="1" applyBorder="1" applyAlignment="1" applyProtection="1">
      <alignment horizontal="center" vertical="center" wrapText="1"/>
      <protection locked="0"/>
    </xf>
    <xf numFmtId="0" fontId="14" fillId="0" borderId="0" xfId="0" applyFont="1" applyBorder="1" applyAlignment="1">
      <alignment horizontal="left" vertical="top" wrapText="1"/>
    </xf>
    <xf numFmtId="0" fontId="15" fillId="0" borderId="0" xfId="0" applyFont="1" applyFill="1" applyBorder="1" applyAlignment="1">
      <alignment horizontal="left" wrapText="1"/>
    </xf>
    <xf numFmtId="49" fontId="2" fillId="3" borderId="2"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44" fillId="22" borderId="2" xfId="0" applyFont="1" applyFill="1" applyBorder="1" applyAlignment="1">
      <alignment horizontal="left" wrapText="1"/>
    </xf>
    <xf numFmtId="0" fontId="69" fillId="22" borderId="2" xfId="0" applyFont="1" applyFill="1" applyBorder="1" applyAlignment="1">
      <alignment horizontal="left" wrapText="1"/>
    </xf>
    <xf numFmtId="0" fontId="44" fillId="22" borderId="8" xfId="0" applyFont="1" applyFill="1" applyBorder="1" applyAlignment="1">
      <alignment horizontal="left" wrapText="1"/>
    </xf>
    <xf numFmtId="0" fontId="44" fillId="22" borderId="0" xfId="0" applyFont="1" applyFill="1" applyAlignment="1">
      <alignment horizontal="left" wrapText="1"/>
    </xf>
    <xf numFmtId="0" fontId="44" fillId="22" borderId="37" xfId="0" applyFont="1" applyFill="1" applyBorder="1" applyAlignment="1">
      <alignment horizontal="left" wrapText="1"/>
    </xf>
    <xf numFmtId="164" fontId="44" fillId="35" borderId="45" xfId="1" applyFont="1" applyFill="1" applyBorder="1" applyAlignment="1">
      <alignment horizontal="center" wrapText="1"/>
    </xf>
    <xf numFmtId="164" fontId="44" fillId="35" borderId="46" xfId="1" applyFont="1" applyFill="1" applyBorder="1" applyAlignment="1">
      <alignment horizontal="center" wrapText="1"/>
    </xf>
    <xf numFmtId="164" fontId="44" fillId="35" borderId="47" xfId="1" applyFont="1" applyFill="1" applyBorder="1" applyAlignment="1">
      <alignment horizontal="center" wrapText="1"/>
    </xf>
    <xf numFmtId="164" fontId="44" fillId="35" borderId="48" xfId="1" applyFont="1" applyFill="1" applyBorder="1" applyAlignment="1">
      <alignment horizontal="center" wrapText="1"/>
    </xf>
    <xf numFmtId="164" fontId="44" fillId="35" borderId="49" xfId="1" applyFont="1" applyFill="1" applyBorder="1" applyAlignment="1">
      <alignment horizontal="center" wrapText="1"/>
    </xf>
    <xf numFmtId="164" fontId="44" fillId="35" borderId="50" xfId="1" applyFont="1" applyFill="1" applyBorder="1" applyAlignment="1">
      <alignment horizontal="center" wrapText="1"/>
    </xf>
    <xf numFmtId="0" fontId="44" fillId="35" borderId="31" xfId="0" applyFont="1" applyFill="1" applyBorder="1" applyAlignment="1">
      <alignment horizontal="center" wrapText="1"/>
    </xf>
    <xf numFmtId="0" fontId="44" fillId="35" borderId="33" xfId="0" applyFont="1" applyFill="1" applyBorder="1" applyAlignment="1">
      <alignment horizontal="center" wrapText="1"/>
    </xf>
    <xf numFmtId="0" fontId="44" fillId="22" borderId="40" xfId="0" applyFont="1" applyFill="1" applyBorder="1" applyAlignment="1">
      <alignment horizontal="left" wrapText="1"/>
    </xf>
    <xf numFmtId="0" fontId="44" fillId="22" borderId="24" xfId="0" applyFont="1" applyFill="1" applyBorder="1" applyAlignment="1">
      <alignment horizontal="left" wrapText="1"/>
    </xf>
    <xf numFmtId="0" fontId="44" fillId="22" borderId="41" xfId="0" applyFont="1" applyFill="1" applyBorder="1" applyAlignment="1">
      <alignment horizontal="left" wrapText="1"/>
    </xf>
    <xf numFmtId="0" fontId="44" fillId="22" borderId="2" xfId="0" applyFont="1" applyFill="1" applyBorder="1" applyAlignment="1">
      <alignment horizontal="center" wrapText="1"/>
    </xf>
    <xf numFmtId="0" fontId="44" fillId="0" borderId="31" xfId="0" applyFont="1" applyBorder="1" applyAlignment="1">
      <alignment horizontal="center" wrapText="1"/>
    </xf>
    <xf numFmtId="0" fontId="44" fillId="0" borderId="32" xfId="0" applyFont="1" applyBorder="1" applyAlignment="1">
      <alignment horizontal="center" wrapText="1"/>
    </xf>
    <xf numFmtId="0" fontId="44" fillId="0" borderId="33" xfId="0" applyFont="1" applyBorder="1" applyAlignment="1">
      <alignment horizontal="center" wrapText="1"/>
    </xf>
    <xf numFmtId="0" fontId="44" fillId="22" borderId="3" xfId="0" applyFont="1" applyFill="1" applyBorder="1" applyAlignment="1">
      <alignment horizontal="left" wrapText="1"/>
    </xf>
    <xf numFmtId="0" fontId="44" fillId="22" borderId="35" xfId="0" applyFont="1" applyFill="1" applyBorder="1" applyAlignment="1">
      <alignment horizontal="left" wrapText="1"/>
    </xf>
    <xf numFmtId="0" fontId="44" fillId="22" borderId="1" xfId="0" applyFont="1" applyFill="1" applyBorder="1" applyAlignment="1">
      <alignment horizontal="left" wrapText="1"/>
    </xf>
    <xf numFmtId="0" fontId="41" fillId="22" borderId="3" xfId="0" applyFont="1" applyFill="1" applyBorder="1" applyAlignment="1">
      <alignment horizontal="center" wrapText="1"/>
    </xf>
    <xf numFmtId="0" fontId="41" fillId="22" borderId="35" xfId="0" applyFont="1" applyFill="1" applyBorder="1" applyAlignment="1">
      <alignment horizontal="center" wrapText="1"/>
    </xf>
    <xf numFmtId="0" fontId="41" fillId="22" borderId="1" xfId="0" applyFont="1" applyFill="1" applyBorder="1" applyAlignment="1">
      <alignment horizontal="center" wrapText="1"/>
    </xf>
    <xf numFmtId="0" fontId="40" fillId="4" borderId="24" xfId="0" applyFont="1" applyFill="1" applyBorder="1" applyAlignment="1">
      <alignment horizontal="center"/>
    </xf>
    <xf numFmtId="0" fontId="4" fillId="11" borderId="27" xfId="0" applyFont="1" applyFill="1" applyBorder="1" applyAlignment="1">
      <alignment horizontal="center"/>
    </xf>
    <xf numFmtId="0" fontId="4" fillId="11" borderId="28" xfId="0" applyFont="1" applyFill="1" applyBorder="1" applyAlignment="1">
      <alignment horizontal="center"/>
    </xf>
    <xf numFmtId="0" fontId="4" fillId="11" borderId="29" xfId="0" applyFont="1" applyFill="1" applyBorder="1" applyAlignment="1">
      <alignment horizontal="center"/>
    </xf>
    <xf numFmtId="0" fontId="4" fillId="19" borderId="27" xfId="0" applyFont="1" applyFill="1" applyBorder="1" applyAlignment="1">
      <alignment horizontal="center"/>
    </xf>
    <xf numFmtId="0" fontId="4" fillId="19" borderId="28" xfId="0" applyFont="1" applyFill="1" applyBorder="1" applyAlignment="1">
      <alignment horizontal="center"/>
    </xf>
    <xf numFmtId="0" fontId="4" fillId="19" borderId="93" xfId="0" applyFont="1" applyFill="1" applyBorder="1" applyAlignment="1">
      <alignment horizontal="center"/>
    </xf>
    <xf numFmtId="0" fontId="4" fillId="20" borderId="27" xfId="0" applyFont="1" applyFill="1" applyBorder="1" applyAlignment="1">
      <alignment horizontal="center"/>
    </xf>
    <xf numFmtId="0" fontId="4" fillId="20" borderId="28" xfId="0" applyFont="1" applyFill="1" applyBorder="1" applyAlignment="1">
      <alignment horizontal="center"/>
    </xf>
    <xf numFmtId="0" fontId="4" fillId="20" borderId="93" xfId="0" applyFont="1" applyFill="1" applyBorder="1" applyAlignment="1">
      <alignment horizontal="center"/>
    </xf>
    <xf numFmtId="0" fontId="44" fillId="25" borderId="45" xfId="0" applyFont="1" applyFill="1" applyBorder="1" applyAlignment="1">
      <alignment horizontal="center" vertical="center"/>
    </xf>
    <xf numFmtId="0" fontId="44" fillId="25" borderId="46" xfId="0" applyFont="1" applyFill="1" applyBorder="1" applyAlignment="1">
      <alignment horizontal="center" vertical="center"/>
    </xf>
    <xf numFmtId="0" fontId="44" fillId="25" borderId="47" xfId="0" applyFont="1" applyFill="1" applyBorder="1" applyAlignment="1">
      <alignment horizontal="center" vertical="center"/>
    </xf>
    <xf numFmtId="0" fontId="44" fillId="25" borderId="48" xfId="0" applyFont="1" applyFill="1" applyBorder="1" applyAlignment="1">
      <alignment horizontal="center" vertical="center"/>
    </xf>
    <xf numFmtId="0" fontId="44" fillId="25" borderId="49" xfId="0" applyFont="1" applyFill="1" applyBorder="1" applyAlignment="1">
      <alignment horizontal="center" vertical="center"/>
    </xf>
    <xf numFmtId="0" fontId="44" fillId="25" borderId="50" xfId="0" applyFont="1" applyFill="1" applyBorder="1" applyAlignment="1">
      <alignment horizontal="center" vertical="center"/>
    </xf>
    <xf numFmtId="0" fontId="44" fillId="22" borderId="31" xfId="0" applyFont="1" applyFill="1" applyBorder="1" applyAlignment="1">
      <alignment horizontal="center" wrapText="1"/>
    </xf>
    <xf numFmtId="0" fontId="44" fillId="22" borderId="32" xfId="0" applyFont="1" applyFill="1" applyBorder="1" applyAlignment="1">
      <alignment horizontal="center" wrapText="1"/>
    </xf>
    <xf numFmtId="0" fontId="44" fillId="22" borderId="47" xfId="0" applyFont="1" applyFill="1" applyBorder="1" applyAlignment="1">
      <alignment horizontal="center" wrapText="1"/>
    </xf>
    <xf numFmtId="0" fontId="44" fillId="22" borderId="13" xfId="0" applyFont="1" applyFill="1" applyBorder="1" applyAlignment="1">
      <alignment horizontal="center" vertical="center" wrapText="1"/>
    </xf>
    <xf numFmtId="0" fontId="44" fillId="22" borderId="14" xfId="0" applyFont="1" applyFill="1" applyBorder="1" applyAlignment="1">
      <alignment horizontal="center" vertical="center" wrapText="1"/>
    </xf>
    <xf numFmtId="0" fontId="44" fillId="22" borderId="12" xfId="0" applyFont="1" applyFill="1" applyBorder="1" applyAlignment="1">
      <alignment horizontal="center" vertical="center" wrapText="1"/>
    </xf>
  </cellXfs>
  <cellStyles count="9">
    <cellStyle name="Lien hypertexte 2" xfId="5" xr:uid="{00000000-0005-0000-0000-000000000000}"/>
    <cellStyle name="Milliers" xfId="6" builtinId="3"/>
    <cellStyle name="Milliers 2" xfId="4" xr:uid="{00000000-0005-0000-0000-000002000000}"/>
    <cellStyle name="Monétaire" xfId="1" builtinId="4"/>
    <cellStyle name="Monétaire 2" xfId="8" xr:uid="{00000000-0005-0000-0000-000004000000}"/>
    <cellStyle name="Normal" xfId="0" builtinId="0"/>
    <cellStyle name="Normal 2" xfId="3" xr:uid="{00000000-0005-0000-0000-000006000000}"/>
    <cellStyle name="Normal 3" xfId="7" xr:uid="{00000000-0005-0000-0000-000007000000}"/>
    <cellStyle name="Pourcentage" xfId="2"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99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AppData/Roaming/Microsoft/Excel/3%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s unitaires"/>
      <sheetName val="Répartition_Final"/>
      <sheetName val="1) RF par produit"/>
      <sheetName val="2) RP par categorie budgetaire"/>
      <sheetName val="5) Pour utilisation par MPTFO"/>
      <sheetName val="Dropdowns"/>
      <sheetName val="Sheet2"/>
    </sheetNames>
    <sheetDataSet>
      <sheetData sheetId="0"/>
      <sheetData sheetId="1"/>
      <sheetData sheetId="2">
        <row r="5">
          <cell r="D5" t="str">
            <v>PNUD
(budget en USD)</v>
          </cell>
          <cell r="E5" t="str">
            <v>MSIS-tatao
(budget en USD)</v>
          </cell>
        </row>
        <row r="17">
          <cell r="D17">
            <v>96500</v>
          </cell>
          <cell r="E17">
            <v>15000</v>
          </cell>
        </row>
        <row r="27">
          <cell r="D27">
            <v>242000</v>
          </cell>
          <cell r="E27">
            <v>13000</v>
          </cell>
        </row>
        <row r="59">
          <cell r="D59">
            <v>72000</v>
          </cell>
          <cell r="E59">
            <v>4000</v>
          </cell>
        </row>
        <row r="69">
          <cell r="D69">
            <v>13000</v>
          </cell>
          <cell r="E69">
            <v>147000</v>
          </cell>
        </row>
        <row r="101">
          <cell r="D101">
            <v>152500</v>
          </cell>
          <cell r="E101">
            <v>11000</v>
          </cell>
        </row>
        <row r="111">
          <cell r="D111">
            <v>255869.15887850453</v>
          </cell>
          <cell r="E111">
            <v>5000</v>
          </cell>
        </row>
        <row r="176">
          <cell r="D176">
            <v>30000</v>
          </cell>
          <cell r="E176">
            <v>45000</v>
          </cell>
        </row>
        <row r="180">
          <cell r="D180">
            <v>289626.16822429909</v>
          </cell>
          <cell r="E180">
            <v>85373.831775700906</v>
          </cell>
        </row>
        <row r="197">
          <cell r="D197">
            <v>780000</v>
          </cell>
          <cell r="E197">
            <v>195000</v>
          </cell>
          <cell r="G197">
            <v>975000</v>
          </cell>
          <cell r="H197">
            <v>0.65</v>
          </cell>
        </row>
        <row r="198">
          <cell r="D198">
            <v>420000</v>
          </cell>
          <cell r="E198">
            <v>105000</v>
          </cell>
          <cell r="G198">
            <v>525000</v>
          </cell>
          <cell r="H198">
            <v>0.35</v>
          </cell>
        </row>
        <row r="199">
          <cell r="D199">
            <v>0</v>
          </cell>
          <cell r="E199">
            <v>0</v>
          </cell>
          <cell r="G199">
            <v>0</v>
          </cell>
          <cell r="H199">
            <v>0</v>
          </cell>
        </row>
        <row r="200">
          <cell r="D200">
            <v>1200000</v>
          </cell>
          <cell r="E200">
            <v>300000</v>
          </cell>
          <cell r="G200">
            <v>1500000</v>
          </cell>
        </row>
      </sheetData>
      <sheetData sheetId="3">
        <row r="198">
          <cell r="D198">
            <v>30000</v>
          </cell>
          <cell r="E198">
            <v>45000</v>
          </cell>
        </row>
        <row r="199">
          <cell r="D199">
            <v>5453.6915887850455</v>
          </cell>
          <cell r="E199">
            <v>13828.691588785045</v>
          </cell>
        </row>
        <row r="200">
          <cell r="D200">
            <v>40860.093457943927</v>
          </cell>
          <cell r="E200">
            <v>33899.439252336437</v>
          </cell>
        </row>
        <row r="201">
          <cell r="D201">
            <v>279465.51401869161</v>
          </cell>
          <cell r="E201">
            <v>44866.074766355137</v>
          </cell>
        </row>
        <row r="202">
          <cell r="D202">
            <v>50547.429906542056</v>
          </cell>
          <cell r="E202">
            <v>19237.383177570089</v>
          </cell>
        </row>
        <row r="203">
          <cell r="D203">
            <v>659532.24299065408</v>
          </cell>
          <cell r="E203">
            <v>111720</v>
          </cell>
        </row>
        <row r="204">
          <cell r="D204">
            <v>55636.355140186919</v>
          </cell>
          <cell r="E204">
            <v>11822.2429906542</v>
          </cell>
        </row>
      </sheetData>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opLeftCell="A10" workbookViewId="0">
      <selection activeCell="C27" sqref="C27"/>
    </sheetView>
  </sheetViews>
  <sheetFormatPr baseColWidth="10" defaultColWidth="11.42578125" defaultRowHeight="15" x14ac:dyDescent="0.25"/>
  <cols>
    <col min="1" max="1" width="42.42578125" style="89" customWidth="1"/>
    <col min="2" max="2" width="12.42578125" style="90" bestFit="1" customWidth="1"/>
    <col min="3" max="16384" width="11.42578125" style="89"/>
  </cols>
  <sheetData>
    <row r="1" spans="1:7" ht="12.75" x14ac:dyDescent="0.2">
      <c r="A1" s="87" t="s">
        <v>461</v>
      </c>
      <c r="B1" s="88">
        <v>3800</v>
      </c>
    </row>
    <row r="2" spans="1:7" ht="12.75" x14ac:dyDescent="0.2">
      <c r="B2" s="89"/>
    </row>
    <row r="3" spans="1:7" x14ac:dyDescent="0.25">
      <c r="A3" s="89" t="s">
        <v>403</v>
      </c>
      <c r="B3" s="90">
        <f>10000/change</f>
        <v>2.6315789473684212</v>
      </c>
    </row>
    <row r="5" spans="1:7" ht="15.75" x14ac:dyDescent="0.25">
      <c r="A5" s="87" t="s">
        <v>462</v>
      </c>
      <c r="B5" s="88"/>
      <c r="G5" s="92">
        <f>SUM(G7:G38)</f>
        <v>0</v>
      </c>
    </row>
    <row r="6" spans="1:7" x14ac:dyDescent="0.25">
      <c r="A6" s="89" t="s">
        <v>463</v>
      </c>
      <c r="B6" s="90">
        <f>10000/change</f>
        <v>2.6315789473684212</v>
      </c>
    </row>
    <row r="7" spans="1:7" x14ac:dyDescent="0.25">
      <c r="A7" s="89" t="s">
        <v>464</v>
      </c>
      <c r="B7" s="90">
        <f>40000/change</f>
        <v>10.526315789473685</v>
      </c>
    </row>
    <row r="8" spans="1:7" x14ac:dyDescent="0.25">
      <c r="A8" s="89" t="s">
        <v>465</v>
      </c>
      <c r="B8" s="90">
        <f>15000/change</f>
        <v>3.9473684210526314</v>
      </c>
    </row>
    <row r="9" spans="1:7" x14ac:dyDescent="0.25">
      <c r="A9" s="89" t="s">
        <v>466</v>
      </c>
      <c r="B9" s="90">
        <f>300000/change</f>
        <v>78.94736842105263</v>
      </c>
    </row>
    <row r="10" spans="1:7" x14ac:dyDescent="0.25">
      <c r="A10" s="89" t="s">
        <v>467</v>
      </c>
      <c r="B10" s="90">
        <f>100000/change</f>
        <v>26.315789473684209</v>
      </c>
    </row>
    <row r="11" spans="1:7" x14ac:dyDescent="0.25">
      <c r="A11" s="89" t="s">
        <v>468</v>
      </c>
      <c r="B11" s="90">
        <f>1000000/change</f>
        <v>263.15789473684208</v>
      </c>
    </row>
    <row r="12" spans="1:7" x14ac:dyDescent="0.25">
      <c r="A12" s="89" t="s">
        <v>469</v>
      </c>
      <c r="B12" s="90">
        <f>4000000/change</f>
        <v>1052.6315789473683</v>
      </c>
    </row>
    <row r="14" spans="1:7" x14ac:dyDescent="0.25">
      <c r="A14" s="89" t="s">
        <v>470</v>
      </c>
      <c r="B14" s="90">
        <f>70000/change</f>
        <v>18.421052631578949</v>
      </c>
    </row>
    <row r="15" spans="1:7" x14ac:dyDescent="0.25">
      <c r="A15" s="89" t="s">
        <v>471</v>
      </c>
      <c r="B15" s="90">
        <f>2000000/change</f>
        <v>526.31578947368416</v>
      </c>
    </row>
    <row r="16" spans="1:7" x14ac:dyDescent="0.25">
      <c r="A16" s="89" t="s">
        <v>472</v>
      </c>
      <c r="B16" s="90">
        <f>40000/change</f>
        <v>10.526315789473685</v>
      </c>
    </row>
    <row r="17" spans="1:2" x14ac:dyDescent="0.25">
      <c r="A17" s="89" t="s">
        <v>473</v>
      </c>
      <c r="B17" s="90">
        <f>25000/change</f>
        <v>6.5789473684210522</v>
      </c>
    </row>
    <row r="18" spans="1:2" x14ac:dyDescent="0.25">
      <c r="A18" s="89" t="s">
        <v>474</v>
      </c>
      <c r="B18" s="90">
        <f>500/change</f>
        <v>0.13157894736842105</v>
      </c>
    </row>
    <row r="19" spans="1:2" x14ac:dyDescent="0.25">
      <c r="A19" s="89" t="s">
        <v>475</v>
      </c>
      <c r="B19" s="90">
        <f>50/change</f>
        <v>1.3157894736842105E-2</v>
      </c>
    </row>
    <row r="20" spans="1:2" x14ac:dyDescent="0.25">
      <c r="A20" s="89" t="s">
        <v>476</v>
      </c>
      <c r="B20" s="90">
        <f>1000/change</f>
        <v>0.26315789473684209</v>
      </c>
    </row>
    <row r="21" spans="1:2" x14ac:dyDescent="0.25">
      <c r="A21" s="89" t="s">
        <v>477</v>
      </c>
      <c r="B21" s="90">
        <f>600/change</f>
        <v>0.15789473684210525</v>
      </c>
    </row>
    <row r="23" spans="1:2" ht="12.75" x14ac:dyDescent="0.2">
      <c r="A23" s="87" t="s">
        <v>478</v>
      </c>
      <c r="B23" s="88"/>
    </row>
    <row r="24" spans="1:2" x14ac:dyDescent="0.25">
      <c r="A24" s="89" t="s">
        <v>479</v>
      </c>
      <c r="B24" s="90">
        <f>25000/change</f>
        <v>6.5789473684210522</v>
      </c>
    </row>
    <row r="25" spans="1:2" x14ac:dyDescent="0.25">
      <c r="A25" s="89" t="s">
        <v>418</v>
      </c>
      <c r="B25" s="90">
        <f>20000/change</f>
        <v>5.2631578947368425</v>
      </c>
    </row>
    <row r="27" spans="1:2" ht="12.75" x14ac:dyDescent="0.2">
      <c r="A27" s="87" t="s">
        <v>480</v>
      </c>
      <c r="B27" s="88"/>
    </row>
    <row r="28" spans="1:2" x14ac:dyDescent="0.25">
      <c r="A28" s="89" t="s">
        <v>399</v>
      </c>
      <c r="B28" s="90">
        <f>15000000/change</f>
        <v>3947.3684210526317</v>
      </c>
    </row>
    <row r="31" spans="1:2" ht="12.75" x14ac:dyDescent="0.2">
      <c r="A31" s="87" t="s">
        <v>481</v>
      </c>
      <c r="B31" s="87"/>
    </row>
    <row r="32" spans="1:2" x14ac:dyDescent="0.25">
      <c r="A32" s="89" t="s">
        <v>401</v>
      </c>
      <c r="B32" s="90">
        <f>20000/change</f>
        <v>5.2631578947368425</v>
      </c>
    </row>
    <row r="33" spans="1:2" x14ac:dyDescent="0.25">
      <c r="A33" s="89" t="s">
        <v>404</v>
      </c>
      <c r="B33" s="90">
        <f>100000/change</f>
        <v>26.315789473684209</v>
      </c>
    </row>
    <row r="34" spans="1:2" x14ac:dyDescent="0.25">
      <c r="A34" s="89" t="s">
        <v>405</v>
      </c>
      <c r="B34" s="90">
        <f>80000/change</f>
        <v>21.05263157894737</v>
      </c>
    </row>
    <row r="35" spans="1:2" x14ac:dyDescent="0.25">
      <c r="A35" s="89" t="s">
        <v>402</v>
      </c>
      <c r="B35" s="90">
        <f>100000/change</f>
        <v>26.315789473684209</v>
      </c>
    </row>
    <row r="38" spans="1:2" ht="12.75" x14ac:dyDescent="0.2">
      <c r="A38" s="87" t="s">
        <v>482</v>
      </c>
      <c r="B38" s="87"/>
    </row>
    <row r="39" spans="1:2" x14ac:dyDescent="0.25">
      <c r="A39" s="89" t="s">
        <v>401</v>
      </c>
      <c r="B39" s="90">
        <f>15000/change</f>
        <v>3.9473684210526314</v>
      </c>
    </row>
    <row r="40" spans="1:2" x14ac:dyDescent="0.25">
      <c r="A40" s="89" t="s">
        <v>404</v>
      </c>
      <c r="B40" s="90">
        <f>50000/change</f>
        <v>13.157894736842104</v>
      </c>
    </row>
    <row r="41" spans="1:2" x14ac:dyDescent="0.25">
      <c r="A41" s="89" t="s">
        <v>405</v>
      </c>
      <c r="B41" s="90">
        <f>60000/change</f>
        <v>15.789473684210526</v>
      </c>
    </row>
    <row r="42" spans="1:2" x14ac:dyDescent="0.25">
      <c r="A42" s="89" t="s">
        <v>402</v>
      </c>
      <c r="B42" s="90">
        <f>100000/change</f>
        <v>26.315789473684209</v>
      </c>
    </row>
    <row r="44" spans="1:2" ht="12.75" x14ac:dyDescent="0.2">
      <c r="A44" s="87" t="s">
        <v>492</v>
      </c>
      <c r="B44" s="87"/>
    </row>
    <row r="45" spans="1:2" x14ac:dyDescent="0.25">
      <c r="A45" s="89" t="s">
        <v>401</v>
      </c>
      <c r="B45" s="90">
        <f>15000/change</f>
        <v>3.9473684210526314</v>
      </c>
    </row>
    <row r="46" spans="1:2" x14ac:dyDescent="0.25">
      <c r="A46" s="89" t="s">
        <v>404</v>
      </c>
      <c r="B46" s="90">
        <f>30000/change</f>
        <v>7.8947368421052628</v>
      </c>
    </row>
    <row r="47" spans="1:2" x14ac:dyDescent="0.25">
      <c r="A47" s="89" t="s">
        <v>405</v>
      </c>
      <c r="B47" s="90">
        <f>40000/change</f>
        <v>10.526315789473685</v>
      </c>
    </row>
    <row r="48" spans="1:2" x14ac:dyDescent="0.25">
      <c r="A48" s="89" t="s">
        <v>402</v>
      </c>
      <c r="B48" s="90">
        <f>100000/change</f>
        <v>26.315789473684209</v>
      </c>
    </row>
    <row r="50" spans="1:2" ht="12.75" x14ac:dyDescent="0.2">
      <c r="A50" s="87" t="s">
        <v>478</v>
      </c>
      <c r="B50" s="87"/>
    </row>
    <row r="51" spans="1:2" x14ac:dyDescent="0.25">
      <c r="A51" s="89" t="s">
        <v>483</v>
      </c>
      <c r="B51" s="90">
        <f>10000/change</f>
        <v>2.6315789473684212</v>
      </c>
    </row>
    <row r="53" spans="1:2" ht="12.75" x14ac:dyDescent="0.2">
      <c r="A53" s="87" t="s">
        <v>484</v>
      </c>
      <c r="B53" s="87"/>
    </row>
    <row r="54" spans="1:2" x14ac:dyDescent="0.25">
      <c r="A54" s="89" t="s">
        <v>485</v>
      </c>
      <c r="B54" s="90">
        <f>80000/change</f>
        <v>21.05263157894737</v>
      </c>
    </row>
    <row r="55" spans="1:2" x14ac:dyDescent="0.25">
      <c r="A55" s="89" t="s">
        <v>486</v>
      </c>
      <c r="B55" s="90">
        <f>60000/change</f>
        <v>15.789473684210526</v>
      </c>
    </row>
    <row r="56" spans="1:2" x14ac:dyDescent="0.25">
      <c r="A56" s="89" t="s">
        <v>419</v>
      </c>
      <c r="B56" s="90">
        <f>100000/change</f>
        <v>26.315789473684209</v>
      </c>
    </row>
    <row r="57" spans="1:2" x14ac:dyDescent="0.25">
      <c r="A57" s="89" t="s">
        <v>421</v>
      </c>
      <c r="B57" s="90">
        <f>1200000/change</f>
        <v>315.78947368421052</v>
      </c>
    </row>
    <row r="58" spans="1:2" x14ac:dyDescent="0.25">
      <c r="A58" s="89" t="s">
        <v>422</v>
      </c>
      <c r="B58" s="90">
        <f>450000/change</f>
        <v>118.42105263157895</v>
      </c>
    </row>
    <row r="59" spans="1:2" x14ac:dyDescent="0.25">
      <c r="A59" s="89" t="s">
        <v>487</v>
      </c>
      <c r="B59" s="90">
        <f>50000/change</f>
        <v>13.157894736842104</v>
      </c>
    </row>
    <row r="60" spans="1:2" x14ac:dyDescent="0.25">
      <c r="A60" s="89" t="s">
        <v>488</v>
      </c>
      <c r="B60" s="90">
        <f>500/change</f>
        <v>0.13157894736842105</v>
      </c>
    </row>
    <row r="62" spans="1:2" ht="12.75" x14ac:dyDescent="0.2">
      <c r="A62" s="87" t="s">
        <v>489</v>
      </c>
      <c r="B62" s="87"/>
    </row>
    <row r="63" spans="1:2" x14ac:dyDescent="0.25">
      <c r="A63" s="89" t="s">
        <v>406</v>
      </c>
      <c r="B63" s="90">
        <f>1500000/change</f>
        <v>394.73684210526318</v>
      </c>
    </row>
    <row r="65" spans="1:2" ht="12.75" x14ac:dyDescent="0.2">
      <c r="A65" s="87" t="s">
        <v>490</v>
      </c>
      <c r="B65" s="87"/>
    </row>
    <row r="66" spans="1:2" x14ac:dyDescent="0.25">
      <c r="A66" s="89" t="s">
        <v>451</v>
      </c>
      <c r="B66" s="90">
        <v>16</v>
      </c>
    </row>
    <row r="71" spans="1:2" x14ac:dyDescent="0.25">
      <c r="A71" s="89" t="s">
        <v>491</v>
      </c>
      <c r="B71" s="91">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8"/>
  <sheetViews>
    <sheetView zoomScale="112" zoomScaleNormal="112" workbookViewId="0">
      <pane xSplit="1" ySplit="2" topLeftCell="B18" activePane="bottomRight" state="frozen"/>
      <selection pane="topRight" activeCell="B1" sqref="B1"/>
      <selection pane="bottomLeft" activeCell="A4" sqref="A4"/>
      <selection pane="bottomRight" activeCell="F91" sqref="F91"/>
    </sheetView>
  </sheetViews>
  <sheetFormatPr baseColWidth="10" defaultColWidth="11.42578125" defaultRowHeight="12.75" x14ac:dyDescent="0.2"/>
  <cols>
    <col min="1" max="1" width="7.85546875" style="83" customWidth="1"/>
    <col min="2" max="2" width="55.28515625" style="83" customWidth="1"/>
    <col min="3" max="3" width="16.5703125" style="83" hidden="1" customWidth="1"/>
    <col min="4" max="4" width="26.28515625" style="83" customWidth="1"/>
    <col min="5" max="5" width="19.140625" style="83" customWidth="1"/>
    <col min="6" max="6" width="20" style="84" customWidth="1"/>
    <col min="7" max="7" width="15.140625" style="83" hidden="1" customWidth="1"/>
    <col min="8" max="8" width="27.42578125" style="83" hidden="1" customWidth="1"/>
    <col min="9" max="11" width="15.140625" style="83" hidden="1" customWidth="1"/>
    <col min="12" max="14" width="0" style="83" hidden="1" customWidth="1"/>
    <col min="15" max="15" width="16.85546875" style="83" hidden="1" customWidth="1"/>
    <col min="16" max="16" width="16.5703125" style="83" hidden="1" customWidth="1"/>
    <col min="17" max="17" width="0" style="83" hidden="1" customWidth="1"/>
    <col min="18" max="16384" width="11.42578125" style="83"/>
  </cols>
  <sheetData>
    <row r="1" spans="2:15" ht="13.5" thickBot="1" x14ac:dyDescent="0.25">
      <c r="B1" s="93"/>
    </row>
    <row r="2" spans="2:15" ht="15.75" x14ac:dyDescent="0.2">
      <c r="B2" s="108" t="s">
        <v>505</v>
      </c>
      <c r="C2" s="109" t="s">
        <v>506</v>
      </c>
      <c r="D2" s="109" t="s">
        <v>507</v>
      </c>
      <c r="E2" s="109" t="s">
        <v>508</v>
      </c>
      <c r="F2" s="110" t="s">
        <v>509</v>
      </c>
    </row>
    <row r="3" spans="2:15" s="96" customFormat="1" ht="18" x14ac:dyDescent="0.2">
      <c r="B3" s="137" t="s">
        <v>496</v>
      </c>
      <c r="C3" s="138"/>
      <c r="D3" s="139">
        <f>E3+F3</f>
        <v>366500</v>
      </c>
      <c r="E3" s="140">
        <f>SUM(E20,E4)</f>
        <v>338500</v>
      </c>
      <c r="F3" s="140">
        <f>SUM(F20,F4)</f>
        <v>28000</v>
      </c>
      <c r="J3" s="130">
        <f>D3-D3*$J$87</f>
        <v>366500</v>
      </c>
      <c r="K3" s="130">
        <v>314779.20560747659</v>
      </c>
    </row>
    <row r="4" spans="2:15" ht="36.75" customHeight="1" x14ac:dyDescent="0.25">
      <c r="B4" s="156" t="s">
        <v>522</v>
      </c>
      <c r="C4" s="151" t="e">
        <f>#REF!</f>
        <v>#REF!</v>
      </c>
      <c r="D4" s="157">
        <f>SUM(D5,D12,D17)</f>
        <v>111500</v>
      </c>
      <c r="E4" s="157">
        <f>SUM(E5,E12,E17)</f>
        <v>96500</v>
      </c>
      <c r="F4" s="158">
        <f>SUM(F5,F12,F17)</f>
        <v>15000</v>
      </c>
    </row>
    <row r="5" spans="2:15" ht="31.5" x14ac:dyDescent="0.2">
      <c r="B5" s="99" t="s">
        <v>397</v>
      </c>
      <c r="C5" s="112" t="e">
        <f>#REF!</f>
        <v>#REF!</v>
      </c>
      <c r="D5" s="134">
        <f>SUM(D6:D11)</f>
        <v>69500</v>
      </c>
      <c r="E5" s="134">
        <f>SUM(E6:E11)</f>
        <v>61500</v>
      </c>
      <c r="F5" s="159">
        <f>SUM(F6:F11)</f>
        <v>8000</v>
      </c>
      <c r="O5" s="181"/>
    </row>
    <row r="6" spans="2:15" ht="27.75" customHeight="1" x14ac:dyDescent="0.2">
      <c r="B6" s="101" t="s">
        <v>495</v>
      </c>
      <c r="C6" s="113" t="e">
        <f>#REF!</f>
        <v>#REF!</v>
      </c>
      <c r="D6" s="135">
        <f t="shared" ref="D6:D67" si="0">E6+F6</f>
        <v>14500</v>
      </c>
      <c r="E6" s="135">
        <v>12000</v>
      </c>
      <c r="F6" s="102">
        <f>1500+1000</f>
        <v>2500</v>
      </c>
      <c r="O6" s="181"/>
    </row>
    <row r="7" spans="2:15" ht="38.25" x14ac:dyDescent="0.2">
      <c r="B7" s="101" t="s">
        <v>398</v>
      </c>
      <c r="C7" s="113" t="e">
        <f>#REF!</f>
        <v>#REF!</v>
      </c>
      <c r="D7" s="135">
        <f t="shared" si="0"/>
        <v>3000</v>
      </c>
      <c r="E7" s="135">
        <v>500</v>
      </c>
      <c r="F7" s="102">
        <f>1500+1000</f>
        <v>2500</v>
      </c>
      <c r="O7" s="181"/>
    </row>
    <row r="8" spans="2:15" ht="24" customHeight="1" x14ac:dyDescent="0.2">
      <c r="B8" s="101" t="s">
        <v>400</v>
      </c>
      <c r="C8" s="113" t="e">
        <f>#REF!</f>
        <v>#REF!</v>
      </c>
      <c r="D8" s="135">
        <f t="shared" si="0"/>
        <v>6000</v>
      </c>
      <c r="E8" s="135">
        <v>3000</v>
      </c>
      <c r="F8" s="102">
        <f>2000+1000</f>
        <v>3000</v>
      </c>
      <c r="O8" s="181"/>
    </row>
    <row r="9" spans="2:15" ht="30" x14ac:dyDescent="0.25">
      <c r="B9" s="103" t="s">
        <v>493</v>
      </c>
      <c r="C9" s="113" t="e">
        <f>#REF!</f>
        <v>#REF!</v>
      </c>
      <c r="D9" s="135">
        <f t="shared" si="0"/>
        <v>16000</v>
      </c>
      <c r="E9" s="135">
        <v>16000</v>
      </c>
      <c r="F9" s="102"/>
      <c r="O9" s="181"/>
    </row>
    <row r="10" spans="2:15" x14ac:dyDescent="0.2">
      <c r="B10" s="101" t="s">
        <v>407</v>
      </c>
      <c r="C10" s="113" t="e">
        <f>#REF!</f>
        <v>#REF!</v>
      </c>
      <c r="D10" s="135">
        <f t="shared" si="0"/>
        <v>30000</v>
      </c>
      <c r="E10" s="135">
        <f>32000-2000</f>
        <v>30000</v>
      </c>
      <c r="F10" s="102"/>
      <c r="O10" s="181"/>
    </row>
    <row r="11" spans="2:15" x14ac:dyDescent="0.2">
      <c r="B11" s="104"/>
      <c r="C11" s="98"/>
      <c r="D11" s="135">
        <f t="shared" si="0"/>
        <v>0</v>
      </c>
      <c r="E11" s="98"/>
      <c r="F11" s="102"/>
      <c r="O11" s="181"/>
    </row>
    <row r="12" spans="2:15" ht="15.75" customHeight="1" x14ac:dyDescent="0.25">
      <c r="B12" s="105" t="s">
        <v>408</v>
      </c>
      <c r="C12" s="112" t="e">
        <f>#REF!</f>
        <v>#REF!</v>
      </c>
      <c r="D12" s="134">
        <f>SUM(D13:D16)</f>
        <v>28000</v>
      </c>
      <c r="E12" s="134">
        <f>SUM(E13:E16)</f>
        <v>22000</v>
      </c>
      <c r="F12" s="159">
        <f>SUM(F13:F16)</f>
        <v>6000</v>
      </c>
      <c r="O12" s="181"/>
    </row>
    <row r="13" spans="2:15" ht="51" x14ac:dyDescent="0.2">
      <c r="B13" s="104" t="s">
        <v>409</v>
      </c>
      <c r="C13" s="113" t="e">
        <f>#REF!</f>
        <v>#REF!</v>
      </c>
      <c r="D13" s="135">
        <f t="shared" si="0"/>
        <v>5000</v>
      </c>
      <c r="E13" s="135">
        <v>2000</v>
      </c>
      <c r="F13" s="102">
        <f>2000+1000</f>
        <v>3000</v>
      </c>
      <c r="O13" s="181"/>
    </row>
    <row r="14" spans="2:15" ht="25.5" x14ac:dyDescent="0.2">
      <c r="B14" s="104" t="s">
        <v>410</v>
      </c>
      <c r="C14" s="113" t="e">
        <f>#REF!</f>
        <v>#REF!</v>
      </c>
      <c r="D14" s="135">
        <f t="shared" si="0"/>
        <v>7500</v>
      </c>
      <c r="E14" s="135">
        <v>6500</v>
      </c>
      <c r="F14" s="102">
        <v>1000</v>
      </c>
      <c r="O14" s="181"/>
    </row>
    <row r="15" spans="2:15" ht="38.25" x14ac:dyDescent="0.2">
      <c r="B15" s="104" t="s">
        <v>411</v>
      </c>
      <c r="C15" s="113" t="e">
        <f>#REF!</f>
        <v>#REF!</v>
      </c>
      <c r="D15" s="135">
        <f t="shared" si="0"/>
        <v>15500</v>
      </c>
      <c r="E15" s="135">
        <v>13500</v>
      </c>
      <c r="F15" s="102">
        <v>2000</v>
      </c>
      <c r="O15" s="181"/>
    </row>
    <row r="16" spans="2:15" x14ac:dyDescent="0.2">
      <c r="B16" s="104"/>
      <c r="C16" s="98"/>
      <c r="D16" s="135">
        <f t="shared" si="0"/>
        <v>0</v>
      </c>
      <c r="E16" s="98"/>
      <c r="F16" s="102"/>
      <c r="O16" s="181"/>
    </row>
    <row r="17" spans="2:15" ht="48.75" customHeight="1" x14ac:dyDescent="0.25">
      <c r="B17" s="115" t="s">
        <v>412</v>
      </c>
      <c r="C17" s="112" t="e">
        <f>#REF!</f>
        <v>#REF!</v>
      </c>
      <c r="D17" s="134">
        <f>SUM(D18:D19)</f>
        <v>14000</v>
      </c>
      <c r="E17" s="134">
        <f>SUM(E18:E19)</f>
        <v>13000</v>
      </c>
      <c r="F17" s="159">
        <f>SUM(F18:F19)</f>
        <v>1000</v>
      </c>
      <c r="O17" s="181"/>
    </row>
    <row r="18" spans="2:15" ht="25.5" x14ac:dyDescent="0.2">
      <c r="B18" s="104" t="s">
        <v>494</v>
      </c>
      <c r="C18" s="113" t="e">
        <f>#REF!</f>
        <v>#REF!</v>
      </c>
      <c r="D18" s="135">
        <f t="shared" si="0"/>
        <v>10000</v>
      </c>
      <c r="E18" s="135">
        <v>9000</v>
      </c>
      <c r="F18" s="102">
        <f>1000</f>
        <v>1000</v>
      </c>
      <c r="O18" s="181"/>
    </row>
    <row r="19" spans="2:15" ht="38.25" x14ac:dyDescent="0.2">
      <c r="B19" s="128" t="s">
        <v>413</v>
      </c>
      <c r="C19" s="113" t="e">
        <f>#REF!</f>
        <v>#REF!</v>
      </c>
      <c r="D19" s="135">
        <f t="shared" si="0"/>
        <v>4000</v>
      </c>
      <c r="E19" s="135">
        <v>4000</v>
      </c>
      <c r="F19" s="102"/>
      <c r="O19" s="181"/>
    </row>
    <row r="20" spans="2:15" ht="32.25" customHeight="1" x14ac:dyDescent="0.25">
      <c r="B20" s="156" t="s">
        <v>510</v>
      </c>
      <c r="C20" s="151" t="e">
        <f>#REF!</f>
        <v>#REF!</v>
      </c>
      <c r="D20" s="157">
        <f>SUM(D21,D26)</f>
        <v>255000</v>
      </c>
      <c r="E20" s="157">
        <f>SUM(E21,E26,E30)</f>
        <v>242000</v>
      </c>
      <c r="F20" s="157">
        <f>SUM(F21,F26,F30)</f>
        <v>13000</v>
      </c>
    </row>
    <row r="21" spans="2:15" ht="31.5" x14ac:dyDescent="0.25">
      <c r="B21" s="105" t="s">
        <v>414</v>
      </c>
      <c r="C21" s="112" t="e">
        <f>#REF!</f>
        <v>#REF!</v>
      </c>
      <c r="D21" s="134">
        <f>SUM(D22:D24)</f>
        <v>61000</v>
      </c>
      <c r="E21" s="134">
        <f>SUM(E22:E24)</f>
        <v>57000</v>
      </c>
      <c r="F21" s="159">
        <f>SUM(F22:F24)</f>
        <v>4000</v>
      </c>
      <c r="O21" s="85"/>
    </row>
    <row r="22" spans="2:15" ht="38.25" x14ac:dyDescent="0.2">
      <c r="B22" s="104" t="s">
        <v>415</v>
      </c>
      <c r="C22" s="113" t="e">
        <f>#REF!</f>
        <v>#REF!</v>
      </c>
      <c r="D22" s="135">
        <f t="shared" si="0"/>
        <v>1000</v>
      </c>
      <c r="E22" s="135">
        <v>1000</v>
      </c>
      <c r="F22" s="102"/>
      <c r="O22" s="195"/>
    </row>
    <row r="23" spans="2:15" ht="38.25" x14ac:dyDescent="0.2">
      <c r="B23" s="104" t="s">
        <v>416</v>
      </c>
      <c r="C23" s="113" t="e">
        <f>#REF!</f>
        <v>#REF!</v>
      </c>
      <c r="D23" s="135">
        <f t="shared" si="0"/>
        <v>3000</v>
      </c>
      <c r="E23" s="135">
        <v>1000</v>
      </c>
      <c r="F23" s="102">
        <v>2000</v>
      </c>
      <c r="O23" s="85"/>
    </row>
    <row r="24" spans="2:15" ht="25.5" x14ac:dyDescent="0.2">
      <c r="B24" s="104" t="s">
        <v>417</v>
      </c>
      <c r="C24" s="113" t="e">
        <f>#REF!</f>
        <v>#REF!</v>
      </c>
      <c r="D24" s="135">
        <f t="shared" si="0"/>
        <v>57000</v>
      </c>
      <c r="E24" s="135">
        <f>58000-3000</f>
        <v>55000</v>
      </c>
      <c r="F24" s="102">
        <v>2000</v>
      </c>
      <c r="O24" s="85"/>
    </row>
    <row r="25" spans="2:15" x14ac:dyDescent="0.2">
      <c r="B25" s="106"/>
      <c r="C25" s="98"/>
      <c r="D25" s="135"/>
      <c r="E25" s="135"/>
      <c r="F25" s="102"/>
      <c r="O25" s="85"/>
    </row>
    <row r="26" spans="2:15" ht="84.75" customHeight="1" x14ac:dyDescent="0.25">
      <c r="B26" s="105" t="s">
        <v>420</v>
      </c>
      <c r="C26" s="112" t="e">
        <f>#REF!</f>
        <v>#REF!</v>
      </c>
      <c r="D26" s="134">
        <f>SUM(D27:D30)</f>
        <v>194000</v>
      </c>
      <c r="E26" s="134">
        <f>SUM(E27:E29)</f>
        <v>165000</v>
      </c>
      <c r="F26" s="134">
        <f>SUM(F27:F29)</f>
        <v>8000</v>
      </c>
      <c r="O26" s="85"/>
    </row>
    <row r="27" spans="2:15" ht="76.5" x14ac:dyDescent="0.2">
      <c r="B27" s="104" t="s">
        <v>511</v>
      </c>
      <c r="C27" s="113" t="e">
        <f>#REF!</f>
        <v>#REF!</v>
      </c>
      <c r="D27" s="135">
        <f t="shared" si="0"/>
        <v>12000</v>
      </c>
      <c r="E27" s="135">
        <v>10000</v>
      </c>
      <c r="F27" s="102">
        <v>2000</v>
      </c>
      <c r="O27" s="85"/>
    </row>
    <row r="28" spans="2:15" ht="25.5" x14ac:dyDescent="0.2">
      <c r="B28" s="104" t="s">
        <v>512</v>
      </c>
      <c r="C28" s="113" t="e">
        <f>#REF!</f>
        <v>#REF!</v>
      </c>
      <c r="D28" s="135">
        <f t="shared" si="0"/>
        <v>105000</v>
      </c>
      <c r="E28" s="135">
        <f>105000-5000</f>
        <v>100000</v>
      </c>
      <c r="F28" s="102">
        <v>5000</v>
      </c>
      <c r="O28" s="85"/>
    </row>
    <row r="29" spans="2:15" ht="51" x14ac:dyDescent="0.2">
      <c r="B29" s="104" t="s">
        <v>513</v>
      </c>
      <c r="C29" s="113" t="e">
        <f>#REF!</f>
        <v>#REF!</v>
      </c>
      <c r="D29" s="135">
        <f t="shared" si="0"/>
        <v>56000</v>
      </c>
      <c r="E29" s="135">
        <v>55000</v>
      </c>
      <c r="F29" s="102">
        <v>1000</v>
      </c>
      <c r="O29" s="85"/>
    </row>
    <row r="30" spans="2:15" ht="47.25" x14ac:dyDescent="0.25">
      <c r="B30" s="105" t="s">
        <v>547</v>
      </c>
      <c r="C30" s="98"/>
      <c r="D30" s="134">
        <f t="shared" si="0"/>
        <v>21000</v>
      </c>
      <c r="E30" s="134">
        <v>20000</v>
      </c>
      <c r="F30" s="134">
        <v>1000</v>
      </c>
    </row>
    <row r="31" spans="2:15" s="96" customFormat="1" ht="18" x14ac:dyDescent="0.2">
      <c r="B31" s="137" t="s">
        <v>497</v>
      </c>
      <c r="C31" s="138"/>
      <c r="D31" s="140">
        <f>D32+D43</f>
        <v>236000</v>
      </c>
      <c r="E31" s="140">
        <f>E32+E43</f>
        <v>85000</v>
      </c>
      <c r="F31" s="160">
        <f>F32+F43</f>
        <v>151000</v>
      </c>
      <c r="J31" s="130">
        <f>D31-D31*$J$87</f>
        <v>236000</v>
      </c>
      <c r="K31" s="130">
        <v>224842.28971962613</v>
      </c>
    </row>
    <row r="32" spans="2:15" ht="37.5" x14ac:dyDescent="0.25">
      <c r="B32" s="150" t="s">
        <v>423</v>
      </c>
      <c r="C32" s="155" t="e">
        <f>#REF!</f>
        <v>#REF!</v>
      </c>
      <c r="D32" s="153">
        <f>SUM(D33,D38)</f>
        <v>76000</v>
      </c>
      <c r="E32" s="153">
        <f>SUM(E33,E38)</f>
        <v>72000</v>
      </c>
      <c r="F32" s="161">
        <f>SUM(F33,F38)</f>
        <v>4000</v>
      </c>
      <c r="O32" s="182"/>
    </row>
    <row r="33" spans="2:16" ht="47.25" x14ac:dyDescent="0.25">
      <c r="B33" s="105" t="s">
        <v>425</v>
      </c>
      <c r="C33" s="112" t="e">
        <f>#REF!</f>
        <v>#REF!</v>
      </c>
      <c r="D33" s="134">
        <f>SUM(D34:D37)</f>
        <v>39000</v>
      </c>
      <c r="E33" s="134">
        <f>SUM(E34:E37)</f>
        <v>38000</v>
      </c>
      <c r="F33" s="100">
        <f>SUM(F34:F37)</f>
        <v>1000</v>
      </c>
      <c r="O33" s="182"/>
    </row>
    <row r="34" spans="2:16" ht="42.75" customHeight="1" x14ac:dyDescent="0.2">
      <c r="B34" s="104" t="s">
        <v>426</v>
      </c>
      <c r="C34" s="113" t="e">
        <f>#REF!</f>
        <v>#REF!</v>
      </c>
      <c r="D34" s="135">
        <f t="shared" si="0"/>
        <v>2000</v>
      </c>
      <c r="E34" s="135">
        <v>1000</v>
      </c>
      <c r="F34" s="102">
        <f>1000</f>
        <v>1000</v>
      </c>
      <c r="O34" s="182"/>
    </row>
    <row r="35" spans="2:16" ht="36.75" customHeight="1" x14ac:dyDescent="0.2">
      <c r="B35" s="104" t="s">
        <v>427</v>
      </c>
      <c r="C35" s="113" t="e">
        <f>#REF!</f>
        <v>#REF!</v>
      </c>
      <c r="D35" s="135">
        <f t="shared" si="0"/>
        <v>25000</v>
      </c>
      <c r="E35" s="135">
        <v>25000</v>
      </c>
      <c r="F35" s="102"/>
      <c r="O35" s="86"/>
    </row>
    <row r="36" spans="2:16" ht="27" customHeight="1" x14ac:dyDescent="0.2">
      <c r="B36" s="104" t="s">
        <v>428</v>
      </c>
      <c r="C36" s="113" t="e">
        <f>#REF!</f>
        <v>#REF!</v>
      </c>
      <c r="D36" s="135">
        <f t="shared" si="0"/>
        <v>12000</v>
      </c>
      <c r="E36" s="135">
        <v>12000</v>
      </c>
      <c r="F36" s="102"/>
      <c r="O36" s="182"/>
    </row>
    <row r="37" spans="2:16" ht="15.75" customHeight="1" x14ac:dyDescent="0.2">
      <c r="B37" s="107"/>
      <c r="C37" s="98"/>
      <c r="D37" s="135">
        <f t="shared" si="0"/>
        <v>0</v>
      </c>
      <c r="E37" s="98"/>
      <c r="F37" s="102"/>
      <c r="O37" s="182"/>
    </row>
    <row r="38" spans="2:16" ht="31.5" x14ac:dyDescent="0.25">
      <c r="B38" s="105" t="s">
        <v>429</v>
      </c>
      <c r="C38" s="112" t="e">
        <f>#REF!</f>
        <v>#REF!</v>
      </c>
      <c r="D38" s="134">
        <f>SUM(D39:D42)</f>
        <v>37000</v>
      </c>
      <c r="E38" s="134">
        <f>SUM(E39:E42)</f>
        <v>34000</v>
      </c>
      <c r="F38" s="100">
        <f>SUM(F39:F42)</f>
        <v>3000</v>
      </c>
      <c r="O38" s="182"/>
    </row>
    <row r="39" spans="2:16" ht="28.5" customHeight="1" x14ac:dyDescent="0.2">
      <c r="B39" s="104" t="s">
        <v>430</v>
      </c>
      <c r="C39" s="113" t="e">
        <f>#REF!</f>
        <v>#REF!</v>
      </c>
      <c r="D39" s="135">
        <f t="shared" si="0"/>
        <v>4000</v>
      </c>
      <c r="E39" s="135">
        <v>1000</v>
      </c>
      <c r="F39" s="102">
        <f>2000+1000</f>
        <v>3000</v>
      </c>
      <c r="O39" s="182"/>
    </row>
    <row r="40" spans="2:16" ht="25.5" x14ac:dyDescent="0.2">
      <c r="B40" s="104" t="s">
        <v>431</v>
      </c>
      <c r="C40" s="113" t="e">
        <f>#REF!</f>
        <v>#REF!</v>
      </c>
      <c r="D40" s="135">
        <f t="shared" si="0"/>
        <v>3000</v>
      </c>
      <c r="E40" s="135">
        <v>3000</v>
      </c>
      <c r="F40" s="102"/>
      <c r="O40" s="182"/>
    </row>
    <row r="41" spans="2:16" ht="38.25" x14ac:dyDescent="0.2">
      <c r="B41" s="104" t="s">
        <v>432</v>
      </c>
      <c r="C41" s="113" t="e">
        <f>#REF!</f>
        <v>#REF!</v>
      </c>
      <c r="D41" s="135">
        <f t="shared" si="0"/>
        <v>30000</v>
      </c>
      <c r="E41" s="135">
        <f>35000-5000</f>
        <v>30000</v>
      </c>
      <c r="F41" s="102"/>
      <c r="O41" s="182"/>
    </row>
    <row r="42" spans="2:16" x14ac:dyDescent="0.2">
      <c r="B42" s="107"/>
      <c r="C42" s="98"/>
      <c r="D42" s="135">
        <f t="shared" si="0"/>
        <v>0</v>
      </c>
      <c r="E42" s="98"/>
      <c r="F42" s="102"/>
      <c r="O42" s="182"/>
    </row>
    <row r="43" spans="2:16" ht="37.5" x14ac:dyDescent="0.25">
      <c r="B43" s="150" t="s">
        <v>433</v>
      </c>
      <c r="C43" s="151" t="e">
        <f>#REF!</f>
        <v>#REF!</v>
      </c>
      <c r="D43" s="154">
        <f>SUM(D44,D50,D54,D57)</f>
        <v>160000</v>
      </c>
      <c r="E43" s="154">
        <f>SUM(E44,E50,E54,E57)</f>
        <v>13000</v>
      </c>
      <c r="F43" s="154">
        <f>SUM(F44,F50,F54,F57)</f>
        <v>147000</v>
      </c>
      <c r="O43" s="196"/>
      <c r="P43" s="180"/>
    </row>
    <row r="44" spans="2:16" ht="31.5" x14ac:dyDescent="0.25">
      <c r="B44" s="105" t="s">
        <v>434</v>
      </c>
      <c r="C44" s="112" t="e">
        <f>#REF!</f>
        <v>#REF!</v>
      </c>
      <c r="D44" s="133">
        <f>SUM(D45:D49)</f>
        <v>18000</v>
      </c>
      <c r="E44" s="133">
        <f>SUM(E45:E49)</f>
        <v>13000</v>
      </c>
      <c r="F44" s="133">
        <f>SUM(F45:F49)</f>
        <v>5000</v>
      </c>
      <c r="O44" s="196"/>
      <c r="P44" s="180"/>
    </row>
    <row r="45" spans="2:16" ht="25.5" x14ac:dyDescent="0.2">
      <c r="B45" s="104" t="s">
        <v>435</v>
      </c>
      <c r="C45" s="113" t="e">
        <f>#REF!</f>
        <v>#REF!</v>
      </c>
      <c r="D45" s="135">
        <f t="shared" si="0"/>
        <v>4500</v>
      </c>
      <c r="E45" s="135">
        <v>1500</v>
      </c>
      <c r="F45" s="102">
        <f>2000+1000</f>
        <v>3000</v>
      </c>
      <c r="O45" s="196"/>
      <c r="P45" s="180"/>
    </row>
    <row r="46" spans="2:16" ht="38.25" x14ac:dyDescent="0.2">
      <c r="B46" s="104" t="s">
        <v>436</v>
      </c>
      <c r="C46" s="113" t="e">
        <f>#REF!</f>
        <v>#REF!</v>
      </c>
      <c r="D46" s="135">
        <f t="shared" si="0"/>
        <v>5000</v>
      </c>
      <c r="E46" s="135">
        <v>5000</v>
      </c>
      <c r="F46" s="102"/>
      <c r="O46" s="196"/>
      <c r="P46" s="180"/>
    </row>
    <row r="47" spans="2:16" ht="25.5" x14ac:dyDescent="0.2">
      <c r="B47" s="104" t="s">
        <v>437</v>
      </c>
      <c r="C47" s="113" t="e">
        <f>#REF!</f>
        <v>#REF!</v>
      </c>
      <c r="D47" s="135">
        <f t="shared" si="0"/>
        <v>3500</v>
      </c>
      <c r="E47" s="135">
        <v>1500</v>
      </c>
      <c r="F47" s="102">
        <v>2000</v>
      </c>
      <c r="O47" s="196"/>
      <c r="P47" s="180"/>
    </row>
    <row r="48" spans="2:16" ht="25.5" x14ac:dyDescent="0.2">
      <c r="B48" s="104" t="s">
        <v>438</v>
      </c>
      <c r="C48" s="113" t="e">
        <f>#REF!</f>
        <v>#REF!</v>
      </c>
      <c r="D48" s="135">
        <f t="shared" si="0"/>
        <v>5000</v>
      </c>
      <c r="E48" s="135">
        <v>5000</v>
      </c>
      <c r="F48" s="102"/>
      <c r="O48" s="196"/>
      <c r="P48" s="180"/>
    </row>
    <row r="49" spans="2:16" x14ac:dyDescent="0.2">
      <c r="B49" s="107"/>
      <c r="C49" s="98"/>
      <c r="D49" s="135">
        <f t="shared" si="0"/>
        <v>0</v>
      </c>
      <c r="E49" s="98"/>
      <c r="F49" s="102"/>
      <c r="O49" s="196"/>
      <c r="P49" s="180"/>
    </row>
    <row r="50" spans="2:16" ht="31.5" x14ac:dyDescent="0.25">
      <c r="B50" s="105" t="s">
        <v>439</v>
      </c>
      <c r="C50" s="112" t="e">
        <f>#REF!</f>
        <v>#REF!</v>
      </c>
      <c r="D50" s="97">
        <f>SUM(D51:D53)</f>
        <v>44000</v>
      </c>
      <c r="E50" s="97">
        <f>SUM(E51:E53)</f>
        <v>0</v>
      </c>
      <c r="F50" s="162">
        <f>SUM(F51:F53)</f>
        <v>44000</v>
      </c>
      <c r="O50" s="196"/>
      <c r="P50" s="180"/>
    </row>
    <row r="51" spans="2:16" ht="63.75" x14ac:dyDescent="0.2">
      <c r="B51" s="104" t="s">
        <v>514</v>
      </c>
      <c r="C51" s="113" t="e">
        <f>#REF!</f>
        <v>#REF!</v>
      </c>
      <c r="D51" s="98">
        <f t="shared" si="0"/>
        <v>1500</v>
      </c>
      <c r="E51" s="98"/>
      <c r="F51" s="102">
        <f>500+1000</f>
        <v>1500</v>
      </c>
      <c r="O51" s="196"/>
      <c r="P51" s="180"/>
    </row>
    <row r="52" spans="2:16" ht="25.5" x14ac:dyDescent="0.2">
      <c r="B52" s="104" t="s">
        <v>498</v>
      </c>
      <c r="C52" s="113" t="e">
        <f>#REF!</f>
        <v>#REF!</v>
      </c>
      <c r="D52" s="98">
        <f t="shared" si="0"/>
        <v>42500</v>
      </c>
      <c r="E52" s="98"/>
      <c r="F52" s="102">
        <v>42500</v>
      </c>
      <c r="O52" s="196"/>
      <c r="P52" s="180"/>
    </row>
    <row r="53" spans="2:16" x14ac:dyDescent="0.2">
      <c r="B53" s="107"/>
      <c r="C53" s="98"/>
      <c r="D53" s="98">
        <f t="shared" si="0"/>
        <v>0</v>
      </c>
      <c r="E53" s="98"/>
      <c r="F53" s="102"/>
      <c r="O53" s="196"/>
      <c r="P53" s="180"/>
    </row>
    <row r="54" spans="2:16" ht="31.5" x14ac:dyDescent="0.25">
      <c r="B54" s="105" t="s">
        <v>440</v>
      </c>
      <c r="C54" s="112" t="e">
        <f>#REF!</f>
        <v>#REF!</v>
      </c>
      <c r="D54" s="100">
        <f>SUM(D55:D56)</f>
        <v>88000</v>
      </c>
      <c r="E54" s="100">
        <f>SUM(E55:E57)</f>
        <v>0</v>
      </c>
      <c r="F54" s="100">
        <f>SUM(F55:F56)</f>
        <v>88000</v>
      </c>
      <c r="O54" s="196"/>
      <c r="P54" s="180"/>
    </row>
    <row r="55" spans="2:16" ht="38.25" x14ac:dyDescent="0.2">
      <c r="B55" s="104" t="s">
        <v>441</v>
      </c>
      <c r="C55" s="113" t="e">
        <f>#REF!</f>
        <v>#REF!</v>
      </c>
      <c r="D55" s="102">
        <f t="shared" si="0"/>
        <v>75000</v>
      </c>
      <c r="E55" s="98"/>
      <c r="F55" s="102">
        <v>75000</v>
      </c>
      <c r="O55" s="196"/>
      <c r="P55" s="180"/>
    </row>
    <row r="56" spans="2:16" ht="39.75" customHeight="1" x14ac:dyDescent="0.2">
      <c r="B56" s="104" t="s">
        <v>518</v>
      </c>
      <c r="C56" s="113" t="e">
        <f>#REF!</f>
        <v>#REF!</v>
      </c>
      <c r="D56" s="102">
        <f t="shared" si="0"/>
        <v>13000</v>
      </c>
      <c r="E56" s="98"/>
      <c r="F56" s="102">
        <v>13000</v>
      </c>
      <c r="O56" s="196"/>
      <c r="P56" s="180"/>
    </row>
    <row r="57" spans="2:16" ht="63" x14ac:dyDescent="0.25">
      <c r="B57" s="105" t="s">
        <v>549</v>
      </c>
      <c r="C57" s="98"/>
      <c r="D57" s="100">
        <f>F57+E57</f>
        <v>10000</v>
      </c>
      <c r="E57" s="100"/>
      <c r="F57" s="100">
        <v>10000</v>
      </c>
    </row>
    <row r="58" spans="2:16" s="96" customFormat="1" ht="18.75" thickBot="1" x14ac:dyDescent="0.25">
      <c r="B58" s="184" t="s">
        <v>499</v>
      </c>
      <c r="C58" s="185"/>
      <c r="D58" s="186">
        <f>D59+D78</f>
        <v>424369.15887850453</v>
      </c>
      <c r="E58" s="186">
        <f>E59+E78</f>
        <v>408369.15887850453</v>
      </c>
      <c r="F58" s="186">
        <f>F59+F78</f>
        <v>16000</v>
      </c>
      <c r="J58" s="130">
        <f>D58-D58*$J$87</f>
        <v>424369.15887850453</v>
      </c>
      <c r="K58" s="130">
        <v>359747.66355140181</v>
      </c>
      <c r="P58" s="194"/>
    </row>
    <row r="59" spans="2:16" ht="23.25" customHeight="1" x14ac:dyDescent="0.25">
      <c r="B59" s="187" t="s">
        <v>442</v>
      </c>
      <c r="C59" s="188" t="e">
        <f>#REF!</f>
        <v>#REF!</v>
      </c>
      <c r="D59" s="189">
        <f>SUM(D60,D65,D69,D73,D72)</f>
        <v>163500</v>
      </c>
      <c r="E59" s="189">
        <f>SUM(E60,E65,E69,E73,E72)</f>
        <v>152500</v>
      </c>
      <c r="F59" s="189">
        <f>SUM(F60,F65,F69,F73,F72)</f>
        <v>11000</v>
      </c>
      <c r="P59" s="183"/>
    </row>
    <row r="60" spans="2:16" ht="33" customHeight="1" x14ac:dyDescent="0.25">
      <c r="B60" s="105" t="s">
        <v>443</v>
      </c>
      <c r="C60" s="112" t="e">
        <f>#REF!</f>
        <v>#REF!</v>
      </c>
      <c r="D60" s="133">
        <f>SUM(D61:D64)</f>
        <v>33000</v>
      </c>
      <c r="E60" s="133">
        <f>SUM(E61:E64)</f>
        <v>30000</v>
      </c>
      <c r="F60" s="163">
        <f>SUM(F61:F64)</f>
        <v>3000</v>
      </c>
      <c r="P60" s="183"/>
    </row>
    <row r="61" spans="2:16" ht="25.5" x14ac:dyDescent="0.2">
      <c r="B61" s="104" t="s">
        <v>444</v>
      </c>
      <c r="C61" s="113" t="e">
        <f>#REF!</f>
        <v>#REF!</v>
      </c>
      <c r="D61" s="144">
        <f t="shared" si="0"/>
        <v>7000</v>
      </c>
      <c r="E61" s="114">
        <v>5000</v>
      </c>
      <c r="F61" s="102">
        <f>1000+1000</f>
        <v>2000</v>
      </c>
      <c r="P61" s="183"/>
    </row>
    <row r="62" spans="2:16" ht="25.5" x14ac:dyDescent="0.2">
      <c r="B62" s="104" t="s">
        <v>445</v>
      </c>
      <c r="C62" s="113" t="e">
        <f>#REF!</f>
        <v>#REF!</v>
      </c>
      <c r="D62" s="144">
        <f t="shared" si="0"/>
        <v>1500</v>
      </c>
      <c r="E62" s="114">
        <v>500</v>
      </c>
      <c r="F62" s="102">
        <v>1000</v>
      </c>
      <c r="P62" s="183"/>
    </row>
    <row r="63" spans="2:16" ht="38.25" x14ac:dyDescent="0.2">
      <c r="B63" s="104" t="s">
        <v>446</v>
      </c>
      <c r="C63" s="113" t="e">
        <f>#REF!</f>
        <v>#REF!</v>
      </c>
      <c r="D63" s="144">
        <f t="shared" si="0"/>
        <v>24500</v>
      </c>
      <c r="E63" s="114">
        <v>24500</v>
      </c>
      <c r="F63" s="102"/>
      <c r="P63" s="183"/>
    </row>
    <row r="64" spans="2:16" x14ac:dyDescent="0.2">
      <c r="B64" s="107"/>
      <c r="C64" s="98"/>
      <c r="D64" s="98">
        <f t="shared" si="0"/>
        <v>0</v>
      </c>
      <c r="E64" s="98"/>
      <c r="F64" s="102"/>
      <c r="P64" s="183"/>
    </row>
    <row r="65" spans="2:16" ht="47.25" x14ac:dyDescent="0.25">
      <c r="B65" s="105" t="s">
        <v>447</v>
      </c>
      <c r="C65" s="112" t="e">
        <f>#REF!</f>
        <v>#REF!</v>
      </c>
      <c r="D65" s="133">
        <f>SUM(D66:D67)</f>
        <v>37000</v>
      </c>
      <c r="E65" s="133">
        <f>SUM(E66:E67)</f>
        <v>35500</v>
      </c>
      <c r="F65" s="163">
        <f>SUM(F66:F67)</f>
        <v>1500</v>
      </c>
      <c r="P65" s="183"/>
    </row>
    <row r="66" spans="2:16" ht="38.25" x14ac:dyDescent="0.2">
      <c r="B66" s="104" t="s">
        <v>448</v>
      </c>
      <c r="C66" s="113" t="e">
        <f>#REF!</f>
        <v>#REF!</v>
      </c>
      <c r="D66" s="144">
        <f>E66+F66</f>
        <v>15500</v>
      </c>
      <c r="E66" s="144">
        <v>15500</v>
      </c>
      <c r="F66" s="102"/>
      <c r="P66" s="183"/>
    </row>
    <row r="67" spans="2:16" ht="25.5" x14ac:dyDescent="0.2">
      <c r="B67" s="104" t="s">
        <v>449</v>
      </c>
      <c r="C67" s="113" t="e">
        <f>#REF!</f>
        <v>#REF!</v>
      </c>
      <c r="D67" s="144">
        <f t="shared" si="0"/>
        <v>21500</v>
      </c>
      <c r="E67" s="144">
        <v>20000</v>
      </c>
      <c r="F67" s="102">
        <v>1500</v>
      </c>
      <c r="O67" s="197"/>
      <c r="P67" s="183"/>
    </row>
    <row r="68" spans="2:16" x14ac:dyDescent="0.2">
      <c r="B68" s="107"/>
      <c r="C68" s="98"/>
      <c r="D68" s="144"/>
      <c r="E68" s="144"/>
      <c r="F68" s="102"/>
      <c r="P68" s="183"/>
    </row>
    <row r="69" spans="2:16" ht="31.5" x14ac:dyDescent="0.25">
      <c r="B69" s="105" t="s">
        <v>450</v>
      </c>
      <c r="C69" s="112" t="e">
        <f>#REF!</f>
        <v>#REF!</v>
      </c>
      <c r="D69" s="133">
        <f>SUM(D70:D71)</f>
        <v>19000</v>
      </c>
      <c r="E69" s="133">
        <f>SUM(E70:E71)</f>
        <v>17000</v>
      </c>
      <c r="F69" s="163">
        <f>SUM(F70:F71)</f>
        <v>2000</v>
      </c>
      <c r="P69" s="183"/>
    </row>
    <row r="70" spans="2:16" ht="38.25" x14ac:dyDescent="0.2">
      <c r="B70" s="104" t="s">
        <v>500</v>
      </c>
      <c r="C70" s="113" t="e">
        <f>#REF!</f>
        <v>#REF!</v>
      </c>
      <c r="D70" s="114">
        <f t="shared" ref="D70:D82" si="1">E70+F70</f>
        <v>11000</v>
      </c>
      <c r="E70" s="114">
        <f>13000-3000</f>
        <v>10000</v>
      </c>
      <c r="F70" s="102">
        <f>1000</f>
        <v>1000</v>
      </c>
      <c r="O70" s="198"/>
      <c r="P70" s="183"/>
    </row>
    <row r="71" spans="2:16" ht="25.5" x14ac:dyDescent="0.2">
      <c r="B71" s="104" t="s">
        <v>452</v>
      </c>
      <c r="C71" s="113" t="e">
        <f>#REF!</f>
        <v>#REF!</v>
      </c>
      <c r="D71" s="114">
        <f>E71+F71</f>
        <v>8000</v>
      </c>
      <c r="E71" s="114">
        <v>7000</v>
      </c>
      <c r="F71" s="102">
        <v>1000</v>
      </c>
      <c r="O71" s="198"/>
      <c r="P71" s="183"/>
    </row>
    <row r="72" spans="2:16" ht="47.25" x14ac:dyDescent="0.25">
      <c r="B72" s="105" t="s">
        <v>551</v>
      </c>
      <c r="C72" s="98"/>
      <c r="D72" s="133">
        <f>F72+E72</f>
        <v>10500</v>
      </c>
      <c r="E72" s="133">
        <v>9000</v>
      </c>
      <c r="F72" s="133">
        <v>1500</v>
      </c>
      <c r="P72" s="183"/>
    </row>
    <row r="73" spans="2:16" ht="31.5" x14ac:dyDescent="0.25">
      <c r="B73" s="105" t="s">
        <v>552</v>
      </c>
      <c r="C73" s="112" t="e">
        <f>#REF!</f>
        <v>#REF!</v>
      </c>
      <c r="D73" s="133">
        <f>SUM(D74:D76)</f>
        <v>64000</v>
      </c>
      <c r="E73" s="133">
        <f>SUM(E74:E76)</f>
        <v>61000</v>
      </c>
      <c r="F73" s="163">
        <f>SUM(F74:F76)</f>
        <v>3000</v>
      </c>
      <c r="P73" s="94"/>
    </row>
    <row r="74" spans="2:16" ht="25.5" x14ac:dyDescent="0.2">
      <c r="B74" s="104" t="s">
        <v>453</v>
      </c>
      <c r="C74" s="113" t="e">
        <f>#REF!</f>
        <v>#REF!</v>
      </c>
      <c r="D74" s="114">
        <f t="shared" si="1"/>
        <v>45000</v>
      </c>
      <c r="E74" s="114">
        <v>42000</v>
      </c>
      <c r="F74" s="102">
        <f>2000+1000</f>
        <v>3000</v>
      </c>
      <c r="P74" s="94"/>
    </row>
    <row r="75" spans="2:16" ht="38.25" x14ac:dyDescent="0.2">
      <c r="B75" s="104" t="s">
        <v>501</v>
      </c>
      <c r="C75" s="113" t="e">
        <f>#REF!</f>
        <v>#REF!</v>
      </c>
      <c r="D75" s="114">
        <f t="shared" si="1"/>
        <v>12000</v>
      </c>
      <c r="E75" s="114">
        <v>12000</v>
      </c>
      <c r="F75" s="102"/>
      <c r="P75" s="94"/>
    </row>
    <row r="76" spans="2:16" ht="51" x14ac:dyDescent="0.2">
      <c r="B76" s="104" t="s">
        <v>454</v>
      </c>
      <c r="C76" s="113" t="e">
        <f>#REF!</f>
        <v>#REF!</v>
      </c>
      <c r="D76" s="114">
        <f t="shared" si="1"/>
        <v>7000</v>
      </c>
      <c r="E76" s="114">
        <v>7000</v>
      </c>
      <c r="F76" s="102"/>
      <c r="P76" s="94"/>
    </row>
    <row r="77" spans="2:16" x14ac:dyDescent="0.2">
      <c r="B77" s="106"/>
      <c r="C77" s="98"/>
      <c r="D77" s="114"/>
      <c r="E77" s="98"/>
      <c r="F77" s="102"/>
      <c r="P77" s="94"/>
    </row>
    <row r="78" spans="2:16" ht="56.25" x14ac:dyDescent="0.25">
      <c r="B78" s="150" t="s">
        <v>455</v>
      </c>
      <c r="C78" s="151" t="e">
        <f>#REF!</f>
        <v>#REF!</v>
      </c>
      <c r="D78" s="152">
        <f>SUM(D79,D83,D85)</f>
        <v>260869.15887850453</v>
      </c>
      <c r="E78" s="152">
        <f t="shared" ref="E78:F78" si="2">SUM(E79,E83,E85)</f>
        <v>255869.15887850453</v>
      </c>
      <c r="F78" s="190">
        <f t="shared" si="2"/>
        <v>5000</v>
      </c>
      <c r="O78" s="193"/>
    </row>
    <row r="79" spans="2:16" ht="47.25" x14ac:dyDescent="0.25">
      <c r="B79" s="105" t="s">
        <v>456</v>
      </c>
      <c r="C79" s="112" t="e">
        <f>#REF!</f>
        <v>#REF!</v>
      </c>
      <c r="D79" s="97">
        <f>SUM(D80:D82)</f>
        <v>55000</v>
      </c>
      <c r="E79" s="97">
        <f>SUM(E80:E82)</f>
        <v>52000</v>
      </c>
      <c r="F79" s="162">
        <f>SUM(F80:F82)</f>
        <v>3000</v>
      </c>
      <c r="O79" s="193"/>
    </row>
    <row r="80" spans="2:16" ht="25.5" x14ac:dyDescent="0.2">
      <c r="B80" s="104" t="s">
        <v>457</v>
      </c>
      <c r="C80" s="113" t="e">
        <f>#REF!</f>
        <v>#REF!</v>
      </c>
      <c r="D80" s="114">
        <f t="shared" si="1"/>
        <v>6000</v>
      </c>
      <c r="E80" s="114">
        <v>5000</v>
      </c>
      <c r="F80" s="102">
        <f>1000</f>
        <v>1000</v>
      </c>
      <c r="O80" s="193"/>
    </row>
    <row r="81" spans="1:15" ht="25.5" x14ac:dyDescent="0.2">
      <c r="B81" s="104" t="s">
        <v>458</v>
      </c>
      <c r="C81" s="113" t="e">
        <f>#REF!</f>
        <v>#REF!</v>
      </c>
      <c r="D81" s="114">
        <f t="shared" si="1"/>
        <v>49000</v>
      </c>
      <c r="E81" s="114">
        <f>49000-2000</f>
        <v>47000</v>
      </c>
      <c r="F81" s="102">
        <v>2000</v>
      </c>
      <c r="O81" s="193"/>
    </row>
    <row r="82" spans="1:15" x14ac:dyDescent="0.2">
      <c r="B82" s="107"/>
      <c r="C82" s="98"/>
      <c r="D82" s="114">
        <f t="shared" si="1"/>
        <v>0</v>
      </c>
      <c r="E82" s="98"/>
      <c r="F82" s="102"/>
      <c r="O82" s="193"/>
    </row>
    <row r="83" spans="1:15" ht="99" customHeight="1" x14ac:dyDescent="0.25">
      <c r="B83" s="105" t="s">
        <v>459</v>
      </c>
      <c r="C83" s="112" t="e">
        <f>#REF!</f>
        <v>#REF!</v>
      </c>
      <c r="D83" s="97">
        <f>F83+E83</f>
        <v>190000</v>
      </c>
      <c r="E83" s="97">
        <f>195000-5000</f>
        <v>190000</v>
      </c>
      <c r="F83" s="100"/>
      <c r="O83" s="193"/>
    </row>
    <row r="84" spans="1:15" x14ac:dyDescent="0.2">
      <c r="B84" s="107"/>
      <c r="C84" s="98"/>
      <c r="D84" s="98"/>
      <c r="E84" s="98"/>
      <c r="F84" s="102"/>
      <c r="O84" s="193"/>
    </row>
    <row r="85" spans="1:15" ht="33" customHeight="1" x14ac:dyDescent="0.25">
      <c r="B85" s="105" t="s">
        <v>460</v>
      </c>
      <c r="C85" s="112" t="e">
        <f>#REF!</f>
        <v>#REF!</v>
      </c>
      <c r="D85" s="97">
        <f>E85+F85</f>
        <v>15869.158878504531</v>
      </c>
      <c r="E85" s="97">
        <f>J99-5000</f>
        <v>13869.158878504531</v>
      </c>
      <c r="F85" s="100">
        <v>2000</v>
      </c>
      <c r="G85" s="116"/>
      <c r="O85" s="193"/>
    </row>
    <row r="86" spans="1:15" x14ac:dyDescent="0.2">
      <c r="B86" s="106"/>
      <c r="C86" s="98"/>
      <c r="D86" s="98"/>
      <c r="E86" s="98"/>
      <c r="F86" s="102"/>
    </row>
    <row r="87" spans="1:15" ht="18.75" thickBot="1" x14ac:dyDescent="0.25">
      <c r="A87" s="143"/>
      <c r="B87" s="141" t="s">
        <v>502</v>
      </c>
      <c r="C87" s="142"/>
      <c r="D87" s="145">
        <f>D58+D31+D3</f>
        <v>1026869.1588785045</v>
      </c>
      <c r="E87" s="145">
        <f>SUM(E58,E31,E3)</f>
        <v>831869.15887850453</v>
      </c>
      <c r="F87" s="164">
        <f>SUM(F58,F31,F3)</f>
        <v>195000</v>
      </c>
      <c r="G87" s="136"/>
      <c r="H87" s="116">
        <f>H99-SUM(D89:D92)</f>
        <v>1026869.1588785045</v>
      </c>
      <c r="I87" s="132">
        <v>994869.15887850453</v>
      </c>
      <c r="J87" s="111">
        <f>(D87-H87)/D87</f>
        <v>0</v>
      </c>
      <c r="K87" s="83">
        <v>404869.15887850453</v>
      </c>
    </row>
    <row r="88" spans="1:15" x14ac:dyDescent="0.2">
      <c r="A88" s="93"/>
      <c r="B88" s="191"/>
      <c r="C88" s="93"/>
      <c r="D88" s="93"/>
      <c r="E88" s="93"/>
      <c r="F88" s="192"/>
    </row>
    <row r="89" spans="1:15" s="117" customFormat="1" ht="34.5" customHeight="1" x14ac:dyDescent="0.2">
      <c r="B89" s="16" t="s">
        <v>374</v>
      </c>
      <c r="C89" s="129"/>
      <c r="D89" s="200">
        <f>E89+F89</f>
        <v>75000</v>
      </c>
      <c r="E89" s="200">
        <v>30000</v>
      </c>
      <c r="F89" s="202">
        <f>60000*75%</f>
        <v>45000</v>
      </c>
      <c r="H89" s="148"/>
    </row>
    <row r="90" spans="1:15" s="117" customFormat="1" ht="35.25" customHeight="1" x14ac:dyDescent="0.2">
      <c r="B90" s="16" t="s">
        <v>375</v>
      </c>
      <c r="C90" s="129"/>
      <c r="D90" s="200">
        <f>E90+F90</f>
        <v>210000</v>
      </c>
      <c r="E90" s="200">
        <f>40000+J102+(170000-30000)</f>
        <v>184626.16822429909</v>
      </c>
      <c r="F90" s="202">
        <f>35000-J102-10000+5000</f>
        <v>25373.831775700906</v>
      </c>
    </row>
    <row r="91" spans="1:15" s="117" customFormat="1" ht="25.5" customHeight="1" x14ac:dyDescent="0.2">
      <c r="B91" s="16" t="s">
        <v>376</v>
      </c>
      <c r="C91" s="129"/>
      <c r="D91" s="200">
        <f t="shared" ref="D91:D92" si="3">E91+F91</f>
        <v>55000</v>
      </c>
      <c r="E91" s="200">
        <v>40000</v>
      </c>
      <c r="F91" s="202">
        <v>15000</v>
      </c>
    </row>
    <row r="92" spans="1:15" s="117" customFormat="1" ht="26.25" customHeight="1" thickBot="1" x14ac:dyDescent="0.25">
      <c r="B92" s="56" t="s">
        <v>377</v>
      </c>
      <c r="C92" s="166"/>
      <c r="D92" s="200">
        <f t="shared" si="3"/>
        <v>35000</v>
      </c>
      <c r="E92" s="201">
        <v>35000</v>
      </c>
      <c r="F92" s="203"/>
    </row>
    <row r="93" spans="1:15" s="117" customFormat="1" ht="18.75" x14ac:dyDescent="0.2">
      <c r="B93" s="167" t="s">
        <v>517</v>
      </c>
      <c r="C93" s="168"/>
      <c r="D93" s="174">
        <f>SUM(D87:D92)</f>
        <v>1401869.1588785045</v>
      </c>
      <c r="E93" s="174">
        <f t="shared" ref="E93:F93" si="4">SUM(E87:E92)</f>
        <v>1121495.3271028036</v>
      </c>
      <c r="F93" s="175">
        <f t="shared" si="4"/>
        <v>280373.83177570091</v>
      </c>
      <c r="I93" s="146"/>
    </row>
    <row r="94" spans="1:15" s="120" customFormat="1" ht="18" x14ac:dyDescent="0.25">
      <c r="B94" s="169" t="s">
        <v>516</v>
      </c>
      <c r="C94" s="165"/>
      <c r="D94" s="176">
        <f>D93*7%</f>
        <v>98130.841121495323</v>
      </c>
      <c r="E94" s="176">
        <f t="shared" ref="E94:F94" si="5">E93*7%</f>
        <v>78504.672897196258</v>
      </c>
      <c r="F94" s="177">
        <f t="shared" si="5"/>
        <v>19626.168224299065</v>
      </c>
    </row>
    <row r="95" spans="1:15" s="120" customFormat="1" ht="18.75" thickBot="1" x14ac:dyDescent="0.3">
      <c r="B95" s="170" t="s">
        <v>515</v>
      </c>
      <c r="C95" s="171"/>
      <c r="D95" s="172">
        <f>SUM(D93:D94)</f>
        <v>1499999.9999999998</v>
      </c>
      <c r="E95" s="172">
        <f>SUM(E93:E94)</f>
        <v>1200000</v>
      </c>
      <c r="F95" s="173">
        <f>SUM(F93:F94)</f>
        <v>300000</v>
      </c>
    </row>
    <row r="96" spans="1:15" s="120" customFormat="1" ht="15.75" hidden="1" customHeight="1" x14ac:dyDescent="0.2">
      <c r="B96" s="125"/>
      <c r="C96" s="122"/>
      <c r="E96" s="123"/>
      <c r="F96" s="123"/>
    </row>
    <row r="97" spans="2:16" s="120" customFormat="1" hidden="1" x14ac:dyDescent="0.2">
      <c r="B97" s="125"/>
      <c r="C97" s="122"/>
      <c r="D97" s="147">
        <f>1500000-D95</f>
        <v>0</v>
      </c>
      <c r="E97" s="123"/>
      <c r="F97" s="123"/>
      <c r="P97" s="199"/>
    </row>
    <row r="98" spans="2:16" s="120" customFormat="1" hidden="1" x14ac:dyDescent="0.2">
      <c r="B98" s="125"/>
      <c r="C98" s="122"/>
      <c r="D98" s="147">
        <f>D97*2</f>
        <v>0</v>
      </c>
      <c r="E98" s="123"/>
      <c r="F98" s="123"/>
    </row>
    <row r="99" spans="2:16" s="120" customFormat="1" ht="15.75" hidden="1" x14ac:dyDescent="0.25">
      <c r="B99" s="125"/>
      <c r="C99" s="122"/>
      <c r="E99" s="123"/>
      <c r="F99" s="123"/>
      <c r="H99" s="131">
        <f>1500000/1.07</f>
        <v>1401869.1588785045</v>
      </c>
      <c r="I99" s="149">
        <f>H99-D93</f>
        <v>0</v>
      </c>
      <c r="J99" s="120">
        <v>18869.158878504531</v>
      </c>
    </row>
    <row r="100" spans="2:16" s="120" customFormat="1" hidden="1" x14ac:dyDescent="0.2">
      <c r="B100" s="125"/>
      <c r="C100" s="122"/>
      <c r="D100" s="178" t="e">
        <f>('2) RF par categorie budgetaire'!#REF!-75000)/'2) RF par categorie budgetaire'!#REF!</f>
        <v>#REF!</v>
      </c>
      <c r="E100" s="123"/>
      <c r="F100" s="123"/>
    </row>
    <row r="101" spans="2:16" s="120" customFormat="1" hidden="1" x14ac:dyDescent="0.2">
      <c r="B101" s="125"/>
      <c r="C101" s="122"/>
      <c r="E101" s="123"/>
      <c r="F101" s="123"/>
    </row>
    <row r="102" spans="2:16" s="120" customFormat="1" hidden="1" x14ac:dyDescent="0.2">
      <c r="B102" s="125"/>
      <c r="C102" s="122"/>
      <c r="E102" s="123"/>
      <c r="F102" s="123" t="s">
        <v>424</v>
      </c>
      <c r="I102" s="120">
        <f>Personnel-I103</f>
        <v>0</v>
      </c>
      <c r="J102" s="120">
        <v>4626.1682242990937</v>
      </c>
    </row>
    <row r="103" spans="2:16" s="120" customFormat="1" hidden="1" x14ac:dyDescent="0.2">
      <c r="B103" s="125"/>
      <c r="C103" s="122"/>
      <c r="E103" s="123"/>
      <c r="F103" s="123"/>
      <c r="I103" s="120">
        <f>300000/1.07</f>
        <v>280373.83177570091</v>
      </c>
    </row>
    <row r="104" spans="2:16" s="120" customFormat="1" hidden="1" x14ac:dyDescent="0.2">
      <c r="B104" s="125"/>
      <c r="C104" s="122"/>
      <c r="E104" s="123"/>
      <c r="F104" s="123"/>
    </row>
    <row r="105" spans="2:16" s="120" customFormat="1" hidden="1" x14ac:dyDescent="0.2">
      <c r="B105" s="125"/>
      <c r="C105" s="122"/>
      <c r="E105" s="123"/>
      <c r="F105" s="123"/>
    </row>
    <row r="106" spans="2:16" s="120" customFormat="1" hidden="1" x14ac:dyDescent="0.2">
      <c r="B106" s="124"/>
      <c r="C106" s="122"/>
      <c r="E106" s="123"/>
      <c r="F106" s="123"/>
    </row>
    <row r="107" spans="2:16" s="120" customFormat="1" hidden="1" x14ac:dyDescent="0.2">
      <c r="B107" s="121"/>
      <c r="C107" s="122"/>
      <c r="E107" s="123"/>
      <c r="F107" s="123"/>
    </row>
    <row r="108" spans="2:16" s="120" customFormat="1" hidden="1" x14ac:dyDescent="0.2">
      <c r="B108" s="124"/>
      <c r="C108" s="122"/>
      <c r="E108" s="123"/>
      <c r="F108" s="123"/>
    </row>
    <row r="109" spans="2:16" s="120" customFormat="1" hidden="1" x14ac:dyDescent="0.2">
      <c r="B109" s="124"/>
      <c r="C109" s="122"/>
      <c r="E109" s="123"/>
      <c r="F109" s="123"/>
    </row>
    <row r="110" spans="2:16" s="120" customFormat="1" hidden="1" x14ac:dyDescent="0.2">
      <c r="B110" s="124"/>
      <c r="C110" s="122"/>
      <c r="E110" s="123"/>
      <c r="F110" s="123"/>
    </row>
    <row r="111" spans="2:16" s="117" customFormat="1" ht="15.75" hidden="1" x14ac:dyDescent="0.2">
      <c r="B111" s="119"/>
      <c r="F111" s="118"/>
    </row>
    <row r="112" spans="2:16" s="117" customFormat="1" ht="15.75" hidden="1" x14ac:dyDescent="0.2">
      <c r="B112" s="119"/>
      <c r="F112" s="118"/>
    </row>
    <row r="113" spans="2:6" s="117" customFormat="1" ht="15.75" hidden="1" x14ac:dyDescent="0.2">
      <c r="B113" s="126"/>
      <c r="F113" s="118"/>
    </row>
    <row r="114" spans="2:6" s="117" customFormat="1" ht="15.75" hidden="1" x14ac:dyDescent="0.2">
      <c r="B114" s="119"/>
      <c r="F114" s="118"/>
    </row>
    <row r="115" spans="2:6" s="117" customFormat="1" ht="15.75" x14ac:dyDescent="0.2">
      <c r="B115" s="119"/>
      <c r="F115" s="118"/>
    </row>
    <row r="116" spans="2:6" s="117" customFormat="1" ht="15.75" x14ac:dyDescent="0.2">
      <c r="B116" s="119"/>
      <c r="F116" s="118"/>
    </row>
    <row r="117" spans="2:6" s="117" customFormat="1" ht="15.75" x14ac:dyDescent="0.25">
      <c r="B117" s="127"/>
      <c r="F117" s="118"/>
    </row>
    <row r="118" spans="2:6" s="117" customFormat="1" x14ac:dyDescent="0.2">
      <c r="F118" s="118"/>
    </row>
    <row r="119" spans="2:6" s="117" customFormat="1" x14ac:dyDescent="0.2">
      <c r="F119" s="118"/>
    </row>
    <row r="120" spans="2:6" s="117" customFormat="1" x14ac:dyDescent="0.2">
      <c r="F120" s="118"/>
    </row>
    <row r="121" spans="2:6" s="117" customFormat="1" x14ac:dyDescent="0.2">
      <c r="F121" s="118"/>
    </row>
    <row r="122" spans="2:6" s="117" customFormat="1" x14ac:dyDescent="0.2">
      <c r="F122" s="118"/>
    </row>
    <row r="123" spans="2:6" s="117" customFormat="1" x14ac:dyDescent="0.2">
      <c r="F123" s="118"/>
    </row>
    <row r="124" spans="2:6" s="117" customFormat="1" x14ac:dyDescent="0.2">
      <c r="F124" s="118"/>
    </row>
    <row r="125" spans="2:6" s="117" customFormat="1" x14ac:dyDescent="0.2">
      <c r="F125" s="118"/>
    </row>
    <row r="126" spans="2:6" s="117" customFormat="1" x14ac:dyDescent="0.2">
      <c r="F126" s="118"/>
    </row>
    <row r="127" spans="2:6" s="117" customFormat="1" x14ac:dyDescent="0.2">
      <c r="F127" s="118"/>
    </row>
    <row r="128" spans="2:6" s="117" customFormat="1" x14ac:dyDescent="0.2">
      <c r="F128" s="118"/>
    </row>
    <row r="129" spans="6:6" s="117" customFormat="1" x14ac:dyDescent="0.2">
      <c r="F129" s="118"/>
    </row>
    <row r="130" spans="6:6" s="117" customFormat="1" x14ac:dyDescent="0.2">
      <c r="F130" s="118"/>
    </row>
    <row r="131" spans="6:6" s="117" customFormat="1" x14ac:dyDescent="0.2">
      <c r="F131" s="118"/>
    </row>
    <row r="132" spans="6:6" s="117" customFormat="1" x14ac:dyDescent="0.2">
      <c r="F132" s="118"/>
    </row>
    <row r="133" spans="6:6" s="117" customFormat="1" x14ac:dyDescent="0.2">
      <c r="F133" s="118"/>
    </row>
    <row r="134" spans="6:6" s="117" customFormat="1" x14ac:dyDescent="0.2">
      <c r="F134" s="118"/>
    </row>
    <row r="135" spans="6:6" s="117" customFormat="1" x14ac:dyDescent="0.2">
      <c r="F135" s="118"/>
    </row>
    <row r="136" spans="6:6" s="117" customFormat="1" x14ac:dyDescent="0.2">
      <c r="F136" s="118"/>
    </row>
    <row r="137" spans="6:6" s="117" customFormat="1" x14ac:dyDescent="0.2">
      <c r="F137" s="118"/>
    </row>
    <row r="138" spans="6:6" s="117" customFormat="1" x14ac:dyDescent="0.2">
      <c r="F138" s="118"/>
    </row>
    <row r="139" spans="6:6" s="117" customFormat="1" x14ac:dyDescent="0.2">
      <c r="F139" s="118"/>
    </row>
    <row r="140" spans="6:6" s="117" customFormat="1" x14ac:dyDescent="0.2">
      <c r="F140" s="118"/>
    </row>
    <row r="141" spans="6:6" s="117" customFormat="1" x14ac:dyDescent="0.2">
      <c r="F141" s="118"/>
    </row>
    <row r="142" spans="6:6" s="117" customFormat="1" x14ac:dyDescent="0.2">
      <c r="F142" s="118"/>
    </row>
    <row r="143" spans="6:6" s="117" customFormat="1" x14ac:dyDescent="0.2">
      <c r="F143" s="118"/>
    </row>
    <row r="144" spans="6:6" s="117" customFormat="1" x14ac:dyDescent="0.2">
      <c r="F144" s="118"/>
    </row>
    <row r="145" spans="6:6" s="117" customFormat="1" x14ac:dyDescent="0.2">
      <c r="F145" s="118"/>
    </row>
    <row r="146" spans="6:6" s="117" customFormat="1" x14ac:dyDescent="0.2">
      <c r="F146" s="118"/>
    </row>
    <row r="147" spans="6:6" s="117" customFormat="1" x14ac:dyDescent="0.2">
      <c r="F147" s="118"/>
    </row>
    <row r="148" spans="6:6" s="117" customFormat="1" x14ac:dyDescent="0.2">
      <c r="F148" s="118"/>
    </row>
    <row r="149" spans="6:6" s="117" customFormat="1" x14ac:dyDescent="0.2">
      <c r="F149" s="118"/>
    </row>
    <row r="150" spans="6:6" s="117" customFormat="1" x14ac:dyDescent="0.2">
      <c r="F150" s="118"/>
    </row>
    <row r="151" spans="6:6" s="117" customFormat="1" x14ac:dyDescent="0.2">
      <c r="F151" s="118"/>
    </row>
    <row r="152" spans="6:6" s="117" customFormat="1" x14ac:dyDescent="0.2">
      <c r="F152" s="118"/>
    </row>
    <row r="153" spans="6:6" s="117" customFormat="1" x14ac:dyDescent="0.2">
      <c r="F153" s="118"/>
    </row>
    <row r="154" spans="6:6" s="117" customFormat="1" x14ac:dyDescent="0.2">
      <c r="F154" s="118"/>
    </row>
    <row r="155" spans="6:6" s="117" customFormat="1" x14ac:dyDescent="0.2">
      <c r="F155" s="118"/>
    </row>
    <row r="156" spans="6:6" s="117" customFormat="1" x14ac:dyDescent="0.2">
      <c r="F156" s="118"/>
    </row>
    <row r="157" spans="6:6" s="117" customFormat="1" x14ac:dyDescent="0.2">
      <c r="F157" s="118"/>
    </row>
    <row r="158" spans="6:6" s="117" customFormat="1" x14ac:dyDescent="0.2">
      <c r="F158" s="118"/>
    </row>
    <row r="159" spans="6:6" s="117" customFormat="1" x14ac:dyDescent="0.2">
      <c r="F159" s="118"/>
    </row>
    <row r="160" spans="6:6" s="117" customFormat="1" x14ac:dyDescent="0.2">
      <c r="F160" s="118"/>
    </row>
    <row r="161" spans="6:6" s="94" customFormat="1" x14ac:dyDescent="0.2">
      <c r="F161" s="95"/>
    </row>
    <row r="162" spans="6:6" s="94" customFormat="1" x14ac:dyDescent="0.2">
      <c r="F162" s="95"/>
    </row>
    <row r="163" spans="6:6" s="94" customFormat="1" x14ac:dyDescent="0.2">
      <c r="F163" s="95"/>
    </row>
    <row r="164" spans="6:6" s="94" customFormat="1" x14ac:dyDescent="0.2">
      <c r="F164" s="95"/>
    </row>
    <row r="165" spans="6:6" s="94" customFormat="1" x14ac:dyDescent="0.2">
      <c r="F165" s="95"/>
    </row>
    <row r="166" spans="6:6" s="94" customFormat="1" x14ac:dyDescent="0.2">
      <c r="F166" s="95"/>
    </row>
    <row r="167" spans="6:6" s="94" customFormat="1" x14ac:dyDescent="0.2">
      <c r="F167" s="95"/>
    </row>
    <row r="168" spans="6:6" s="94" customFormat="1" x14ac:dyDescent="0.2">
      <c r="F168" s="95"/>
    </row>
    <row r="169" spans="6:6" s="94" customFormat="1" x14ac:dyDescent="0.2">
      <c r="F169" s="95"/>
    </row>
    <row r="170" spans="6:6" s="94" customFormat="1" x14ac:dyDescent="0.2">
      <c r="F170" s="95"/>
    </row>
    <row r="171" spans="6:6" s="94" customFormat="1" x14ac:dyDescent="0.2">
      <c r="F171" s="95"/>
    </row>
    <row r="172" spans="6:6" s="94" customFormat="1" x14ac:dyDescent="0.2">
      <c r="F172" s="95"/>
    </row>
    <row r="173" spans="6:6" s="94" customFormat="1" x14ac:dyDescent="0.2">
      <c r="F173" s="95"/>
    </row>
    <row r="174" spans="6:6" s="94" customFormat="1" x14ac:dyDescent="0.2">
      <c r="F174" s="95"/>
    </row>
    <row r="175" spans="6:6" s="94" customFormat="1" x14ac:dyDescent="0.2">
      <c r="F175" s="95"/>
    </row>
    <row r="176" spans="6:6" s="94" customFormat="1" x14ac:dyDescent="0.2">
      <c r="F176" s="95"/>
    </row>
    <row r="177" spans="6:6" s="94" customFormat="1" x14ac:dyDescent="0.2">
      <c r="F177" s="95"/>
    </row>
    <row r="178" spans="6:6" s="94" customFormat="1" x14ac:dyDescent="0.2">
      <c r="F178" s="95"/>
    </row>
    <row r="179" spans="6:6" s="94" customFormat="1" x14ac:dyDescent="0.2">
      <c r="F179" s="95"/>
    </row>
    <row r="180" spans="6:6" s="94" customFormat="1" x14ac:dyDescent="0.2">
      <c r="F180" s="95"/>
    </row>
    <row r="181" spans="6:6" s="94" customFormat="1" x14ac:dyDescent="0.2">
      <c r="F181" s="95"/>
    </row>
    <row r="182" spans="6:6" s="94" customFormat="1" x14ac:dyDescent="0.2">
      <c r="F182" s="95"/>
    </row>
    <row r="183" spans="6:6" s="94" customFormat="1" x14ac:dyDescent="0.2">
      <c r="F183" s="95"/>
    </row>
    <row r="184" spans="6:6" s="94" customFormat="1" x14ac:dyDescent="0.2">
      <c r="F184" s="95"/>
    </row>
    <row r="185" spans="6:6" s="94" customFormat="1" x14ac:dyDescent="0.2">
      <c r="F185" s="95"/>
    </row>
    <row r="186" spans="6:6" s="94" customFormat="1" x14ac:dyDescent="0.2">
      <c r="F186" s="95"/>
    </row>
    <row r="187" spans="6:6" s="94" customFormat="1" x14ac:dyDescent="0.2">
      <c r="F187" s="95"/>
    </row>
    <row r="188" spans="6:6" s="94" customFormat="1" x14ac:dyDescent="0.2">
      <c r="F188" s="95"/>
    </row>
  </sheetData>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16"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15" xr:uid="{00000000-0002-0000-0100-000001000000}"/>
    <dataValidation allowBlank="1" showInputMessage="1" showErrorMessage="1" prompt="Services contracted by an organization which follow the normal procurement processes." sqref="B113" xr:uid="{00000000-0002-0000-0100-000002000000}"/>
    <dataValidation allowBlank="1" showInputMessage="1" showErrorMessage="1" prompt="Includes staff and non-staff travel paid for by the organization directly related to a project." sqref="B114"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12"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11" xr:uid="{00000000-0002-0000-0100-000005000000}"/>
    <dataValidation allowBlank="1" showInputMessage="1" showErrorMessage="1" prompt="Includes all related staff and temporary staff costs including base salary, post adjustment and all staff entitlements." sqref="B93:B110" xr:uid="{00000000-0002-0000-0100-000006000000}"/>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S135"/>
  <sheetViews>
    <sheetView topLeftCell="B98" workbookViewId="0">
      <selection activeCell="N130" sqref="N130"/>
    </sheetView>
  </sheetViews>
  <sheetFormatPr baseColWidth="10" defaultColWidth="11.5703125" defaultRowHeight="15" x14ac:dyDescent="0.25"/>
  <cols>
    <col min="1" max="4" width="11.42578125" style="329" customWidth="1"/>
    <col min="5" max="5" width="42" style="329" customWidth="1"/>
    <col min="6" max="12" width="11.42578125" style="329" customWidth="1"/>
    <col min="13" max="13" width="23.5703125" style="329" customWidth="1"/>
    <col min="14" max="14" width="11.42578125" style="480" customWidth="1"/>
    <col min="15" max="15" width="11.42578125" style="481" customWidth="1"/>
    <col min="16" max="16" width="13" style="335" bestFit="1" customWidth="1"/>
    <col min="17" max="17" width="14" style="329" customWidth="1"/>
    <col min="18" max="16384" width="11.5703125" style="329"/>
  </cols>
  <sheetData>
    <row r="1" spans="1:18" ht="24.75" thickBot="1" x14ac:dyDescent="0.3">
      <c r="A1" s="760" t="s">
        <v>617</v>
      </c>
      <c r="B1" s="760"/>
      <c r="C1" s="760" t="s">
        <v>618</v>
      </c>
      <c r="D1" s="760"/>
      <c r="E1" s="760"/>
      <c r="F1" s="761" t="s">
        <v>619</v>
      </c>
      <c r="G1" s="761"/>
      <c r="H1" s="761"/>
      <c r="I1" s="761"/>
      <c r="J1" s="761"/>
      <c r="K1" s="761"/>
      <c r="L1" s="328" t="s">
        <v>620</v>
      </c>
      <c r="M1" s="328"/>
      <c r="N1" s="761" t="s">
        <v>621</v>
      </c>
      <c r="O1" s="761"/>
      <c r="P1" s="761"/>
    </row>
    <row r="2" spans="1:18" ht="27" hidden="1" customHeight="1" thickBot="1" x14ac:dyDescent="0.3">
      <c r="A2" s="762" t="s">
        <v>622</v>
      </c>
      <c r="B2" s="762"/>
      <c r="C2" s="763" t="s">
        <v>623</v>
      </c>
      <c r="D2" s="763"/>
      <c r="E2" s="763"/>
      <c r="F2" s="330" t="s">
        <v>624</v>
      </c>
      <c r="G2" s="330" t="s">
        <v>625</v>
      </c>
      <c r="H2" s="330" t="s">
        <v>626</v>
      </c>
      <c r="I2" s="330" t="s">
        <v>627</v>
      </c>
      <c r="J2" s="330" t="s">
        <v>628</v>
      </c>
      <c r="K2" s="330" t="s">
        <v>629</v>
      </c>
      <c r="L2" s="331"/>
      <c r="M2" s="331" t="s">
        <v>630</v>
      </c>
      <c r="N2" s="330" t="s">
        <v>631</v>
      </c>
      <c r="O2" s="332" t="s">
        <v>632</v>
      </c>
      <c r="P2" s="333" t="s">
        <v>633</v>
      </c>
    </row>
    <row r="3" spans="1:18" ht="15.75" hidden="1" customHeight="1" thickBot="1" x14ac:dyDescent="0.3">
      <c r="A3" s="765" t="s">
        <v>634</v>
      </c>
      <c r="B3" s="766"/>
      <c r="C3" s="766"/>
      <c r="D3" s="766"/>
      <c r="E3" s="766"/>
      <c r="F3" s="766"/>
      <c r="G3" s="766"/>
      <c r="H3" s="766"/>
      <c r="I3" s="766"/>
      <c r="J3" s="766"/>
      <c r="K3" s="766"/>
      <c r="L3" s="766"/>
      <c r="M3" s="766"/>
      <c r="N3" s="766"/>
      <c r="O3" s="767"/>
      <c r="P3" s="334">
        <f>SUM(P6:P41)</f>
        <v>381500</v>
      </c>
      <c r="R3" s="335"/>
    </row>
    <row r="4" spans="1:18" ht="15.75" hidden="1" customHeight="1" thickBot="1" x14ac:dyDescent="0.3">
      <c r="A4" s="336"/>
      <c r="B4" s="337"/>
      <c r="C4" s="337"/>
      <c r="D4" s="337"/>
      <c r="E4" s="337"/>
      <c r="F4" s="337"/>
      <c r="G4" s="337"/>
      <c r="H4" s="337"/>
      <c r="I4" s="337"/>
      <c r="J4" s="337"/>
      <c r="K4" s="337"/>
      <c r="L4" s="337"/>
      <c r="M4" s="337"/>
      <c r="N4" s="337"/>
      <c r="O4" s="338" t="s">
        <v>508</v>
      </c>
      <c r="P4" s="339">
        <f>SUM(P6,P10,P9,P11,P12,P14:P15,P16:P17,P18,P20,P22,P24,P27,P31,P32,P34,P35,P37,P40)</f>
        <v>353500</v>
      </c>
      <c r="R4" s="335"/>
    </row>
    <row r="5" spans="1:18" ht="15.75" hidden="1" customHeight="1" thickBot="1" x14ac:dyDescent="0.3">
      <c r="A5" s="340"/>
      <c r="B5" s="340"/>
      <c r="C5" s="340"/>
      <c r="D5" s="340"/>
      <c r="E5" s="340"/>
      <c r="F5" s="340"/>
      <c r="G5" s="340"/>
      <c r="H5" s="340"/>
      <c r="I5" s="340"/>
      <c r="J5" s="340"/>
      <c r="K5" s="340"/>
      <c r="L5" s="340"/>
      <c r="M5" s="340"/>
      <c r="N5" s="340"/>
      <c r="O5" s="341" t="s">
        <v>509</v>
      </c>
      <c r="P5" s="342">
        <f>SUM(P13,P19,P21,P23,P26,P28,P30,P36,P41)</f>
        <v>28000</v>
      </c>
      <c r="R5" s="335"/>
    </row>
    <row r="6" spans="1:18" ht="55.5" hidden="1" customHeight="1" thickBot="1" x14ac:dyDescent="0.3">
      <c r="A6" s="768" t="s">
        <v>635</v>
      </c>
      <c r="B6" s="769"/>
      <c r="C6" s="597" t="s">
        <v>636</v>
      </c>
      <c r="D6" s="562"/>
      <c r="E6" s="561" t="s">
        <v>637</v>
      </c>
      <c r="F6" s="577" t="s">
        <v>638</v>
      </c>
      <c r="G6" s="582"/>
      <c r="H6" s="582"/>
      <c r="I6" s="582"/>
      <c r="J6" s="582"/>
      <c r="K6" s="582"/>
      <c r="L6" s="578" t="s">
        <v>508</v>
      </c>
      <c r="M6" s="603" t="s">
        <v>639</v>
      </c>
      <c r="N6" s="602" t="s">
        <v>640</v>
      </c>
      <c r="O6" s="764" t="s">
        <v>641</v>
      </c>
      <c r="P6" s="572">
        <v>1000</v>
      </c>
      <c r="Q6" s="335"/>
    </row>
    <row r="7" spans="1:18" ht="33.75" hidden="1" customHeight="1" thickBot="1" x14ac:dyDescent="0.3">
      <c r="A7" s="731" t="s">
        <v>642</v>
      </c>
      <c r="B7" s="732"/>
      <c r="C7" s="560"/>
      <c r="D7" s="583"/>
      <c r="E7" s="561"/>
      <c r="F7" s="577"/>
      <c r="G7" s="582"/>
      <c r="H7" s="582"/>
      <c r="I7" s="582"/>
      <c r="J7" s="582"/>
      <c r="K7" s="582"/>
      <c r="L7" s="578"/>
      <c r="M7" s="603"/>
      <c r="N7" s="602"/>
      <c r="O7" s="764"/>
      <c r="P7" s="572"/>
    </row>
    <row r="8" spans="1:18" ht="56.25" hidden="1" customHeight="1" thickBot="1" x14ac:dyDescent="0.3">
      <c r="A8" s="711" t="s">
        <v>643</v>
      </c>
      <c r="B8" s="712"/>
      <c r="C8" s="757" t="s">
        <v>644</v>
      </c>
      <c r="D8" s="678"/>
      <c r="E8" s="561"/>
      <c r="F8" s="577"/>
      <c r="G8" s="582"/>
      <c r="H8" s="582"/>
      <c r="I8" s="582"/>
      <c r="J8" s="582"/>
      <c r="K8" s="582"/>
      <c r="L8" s="578"/>
      <c r="M8" s="603"/>
      <c r="N8" s="602"/>
      <c r="O8" s="764"/>
      <c r="P8" s="572"/>
    </row>
    <row r="9" spans="1:18" ht="43.5" hidden="1" thickBot="1" x14ac:dyDescent="0.3">
      <c r="A9" s="592"/>
      <c r="B9" s="594"/>
      <c r="C9" s="758" t="s">
        <v>424</v>
      </c>
      <c r="D9" s="575"/>
      <c r="E9" s="343" t="s">
        <v>645</v>
      </c>
      <c r="F9" s="344" t="s">
        <v>638</v>
      </c>
      <c r="G9" s="345"/>
      <c r="H9" s="345"/>
      <c r="I9" s="345"/>
      <c r="J9" s="346"/>
      <c r="K9" s="346"/>
      <c r="L9" s="347" t="s">
        <v>508</v>
      </c>
      <c r="M9" s="347" t="s">
        <v>639</v>
      </c>
      <c r="N9" s="348" t="s">
        <v>640</v>
      </c>
      <c r="O9" s="347" t="s">
        <v>641</v>
      </c>
      <c r="P9" s="349">
        <v>14000</v>
      </c>
    </row>
    <row r="10" spans="1:18" ht="29.25" hidden="1" thickBot="1" x14ac:dyDescent="0.3">
      <c r="A10" s="711" t="s">
        <v>646</v>
      </c>
      <c r="B10" s="712"/>
      <c r="C10" s="741" t="s">
        <v>647</v>
      </c>
      <c r="D10" s="641"/>
      <c r="E10" s="343" t="s">
        <v>648</v>
      </c>
      <c r="F10" s="344" t="s">
        <v>638</v>
      </c>
      <c r="G10" s="345"/>
      <c r="H10" s="345"/>
      <c r="I10" s="345"/>
      <c r="J10" s="350"/>
      <c r="K10" s="350"/>
      <c r="L10" s="347" t="s">
        <v>649</v>
      </c>
      <c r="M10" s="347" t="s">
        <v>650</v>
      </c>
      <c r="N10" s="348" t="s">
        <v>640</v>
      </c>
      <c r="O10" s="347" t="s">
        <v>651</v>
      </c>
      <c r="P10" s="349">
        <v>12000</v>
      </c>
    </row>
    <row r="11" spans="1:18" ht="43.5" hidden="1" thickBot="1" x14ac:dyDescent="0.3">
      <c r="A11" s="711" t="s">
        <v>652</v>
      </c>
      <c r="B11" s="712"/>
      <c r="C11" s="758" t="s">
        <v>653</v>
      </c>
      <c r="D11" s="759"/>
      <c r="E11" s="351" t="s">
        <v>654</v>
      </c>
      <c r="F11" s="344" t="s">
        <v>638</v>
      </c>
      <c r="G11" s="345"/>
      <c r="H11" s="345"/>
      <c r="I11" s="345"/>
      <c r="J11" s="350"/>
      <c r="K11" s="350"/>
      <c r="L11" s="347" t="s">
        <v>508</v>
      </c>
      <c r="M11" s="347" t="s">
        <v>655</v>
      </c>
      <c r="N11" s="348" t="s">
        <v>640</v>
      </c>
      <c r="O11" s="347" t="s">
        <v>656</v>
      </c>
      <c r="P11" s="349">
        <v>500</v>
      </c>
    </row>
    <row r="12" spans="1:18" ht="43.5" hidden="1" thickBot="1" x14ac:dyDescent="0.3">
      <c r="A12" s="592"/>
      <c r="B12" s="594"/>
      <c r="C12" s="757" t="s">
        <v>657</v>
      </c>
      <c r="D12" s="610"/>
      <c r="E12" s="352" t="s">
        <v>658</v>
      </c>
      <c r="F12" s="344" t="s">
        <v>638</v>
      </c>
      <c r="G12" s="345"/>
      <c r="H12" s="345"/>
      <c r="I12" s="345"/>
      <c r="J12" s="350"/>
      <c r="K12" s="350"/>
      <c r="L12" s="347" t="s">
        <v>508</v>
      </c>
      <c r="M12" s="347" t="s">
        <v>659</v>
      </c>
      <c r="N12" s="348" t="s">
        <v>640</v>
      </c>
      <c r="O12" s="347" t="s">
        <v>656</v>
      </c>
      <c r="P12" s="349">
        <v>3000</v>
      </c>
    </row>
    <row r="13" spans="1:18" ht="43.5" thickBot="1" x14ac:dyDescent="0.3">
      <c r="A13" s="353"/>
      <c r="B13" s="354"/>
      <c r="C13" s="355"/>
      <c r="D13" s="356"/>
      <c r="E13" s="357"/>
      <c r="F13" s="344"/>
      <c r="G13" s="345"/>
      <c r="H13" s="345"/>
      <c r="I13" s="345"/>
      <c r="J13" s="350"/>
      <c r="K13" s="350"/>
      <c r="L13" s="358" t="s">
        <v>509</v>
      </c>
      <c r="M13" s="346" t="s">
        <v>660</v>
      </c>
      <c r="N13" s="359" t="s">
        <v>640</v>
      </c>
      <c r="O13" s="346"/>
      <c r="P13" s="360">
        <v>8000</v>
      </c>
    </row>
    <row r="14" spans="1:18" ht="72" hidden="1" thickBot="1" x14ac:dyDescent="0.3">
      <c r="A14" s="711" t="s">
        <v>661</v>
      </c>
      <c r="B14" s="712"/>
      <c r="C14" s="747" t="s">
        <v>662</v>
      </c>
      <c r="D14" s="748"/>
      <c r="E14" s="659" t="s">
        <v>663</v>
      </c>
      <c r="F14" s="751" t="s">
        <v>638</v>
      </c>
      <c r="G14" s="753"/>
      <c r="H14" s="753"/>
      <c r="I14" s="753"/>
      <c r="J14" s="743"/>
      <c r="K14" s="755"/>
      <c r="L14" s="630" t="s">
        <v>508</v>
      </c>
      <c r="M14" s="361" t="s">
        <v>664</v>
      </c>
      <c r="N14" s="362" t="s">
        <v>640</v>
      </c>
      <c r="O14" s="347" t="s">
        <v>651</v>
      </c>
      <c r="P14" s="363">
        <v>3000</v>
      </c>
    </row>
    <row r="15" spans="1:18" ht="162.75" hidden="1" customHeight="1" thickBot="1" x14ac:dyDescent="0.3">
      <c r="A15" s="364"/>
      <c r="B15" s="365"/>
      <c r="C15" s="749"/>
      <c r="D15" s="750"/>
      <c r="E15" s="660"/>
      <c r="F15" s="752"/>
      <c r="G15" s="754"/>
      <c r="H15" s="754"/>
      <c r="I15" s="754"/>
      <c r="J15" s="744"/>
      <c r="K15" s="756"/>
      <c r="L15" s="632"/>
      <c r="M15" s="366" t="s">
        <v>665</v>
      </c>
      <c r="N15" s="367" t="s">
        <v>640</v>
      </c>
      <c r="O15" s="368" t="s">
        <v>651</v>
      </c>
      <c r="P15" s="369">
        <v>13000</v>
      </c>
    </row>
    <row r="16" spans="1:18" ht="72" hidden="1" thickBot="1" x14ac:dyDescent="0.3">
      <c r="A16" s="370"/>
      <c r="B16" s="371"/>
      <c r="C16" s="747" t="s">
        <v>666</v>
      </c>
      <c r="D16" s="748"/>
      <c r="E16" s="659" t="s">
        <v>667</v>
      </c>
      <c r="F16" s="751" t="s">
        <v>638</v>
      </c>
      <c r="G16" s="652" t="s">
        <v>638</v>
      </c>
      <c r="H16" s="753"/>
      <c r="I16" s="753"/>
      <c r="J16" s="743"/>
      <c r="K16" s="745"/>
      <c r="L16" s="630" t="s">
        <v>508</v>
      </c>
      <c r="M16" s="366" t="s">
        <v>668</v>
      </c>
      <c r="N16" s="367" t="s">
        <v>640</v>
      </c>
      <c r="O16" s="372" t="s">
        <v>651</v>
      </c>
      <c r="P16" s="363">
        <v>15000</v>
      </c>
    </row>
    <row r="17" spans="1:16" ht="43.5" hidden="1" thickBot="1" x14ac:dyDescent="0.3">
      <c r="A17" s="373"/>
      <c r="B17" s="374"/>
      <c r="C17" s="749"/>
      <c r="D17" s="750"/>
      <c r="E17" s="660"/>
      <c r="F17" s="752"/>
      <c r="G17" s="653"/>
      <c r="H17" s="754"/>
      <c r="I17" s="754"/>
      <c r="J17" s="744"/>
      <c r="K17" s="746"/>
      <c r="L17" s="632"/>
      <c r="M17" s="366" t="s">
        <v>669</v>
      </c>
      <c r="N17" s="367" t="s">
        <v>640</v>
      </c>
      <c r="O17" s="366" t="s">
        <v>651</v>
      </c>
      <c r="P17" s="369">
        <v>15000</v>
      </c>
    </row>
    <row r="18" spans="1:16" ht="100.5" hidden="1" thickBot="1" x14ac:dyDescent="0.3">
      <c r="A18" s="592"/>
      <c r="B18" s="594"/>
      <c r="C18" s="598" t="s">
        <v>670</v>
      </c>
      <c r="D18" s="598"/>
      <c r="E18" s="375" t="s">
        <v>671</v>
      </c>
      <c r="F18" s="344" t="s">
        <v>638</v>
      </c>
      <c r="G18" s="344" t="s">
        <v>638</v>
      </c>
      <c r="H18" s="345"/>
      <c r="I18" s="345"/>
      <c r="J18" s="346"/>
      <c r="K18" s="376"/>
      <c r="L18" s="366" t="s">
        <v>672</v>
      </c>
      <c r="M18" s="366" t="s">
        <v>673</v>
      </c>
      <c r="N18" s="377" t="s">
        <v>640</v>
      </c>
      <c r="O18" s="366" t="s">
        <v>641</v>
      </c>
      <c r="P18" s="369">
        <v>2000</v>
      </c>
    </row>
    <row r="19" spans="1:16" ht="29.25" thickBot="1" x14ac:dyDescent="0.3">
      <c r="A19" s="353"/>
      <c r="B19" s="354"/>
      <c r="C19" s="378"/>
      <c r="D19" s="378"/>
      <c r="E19" s="379"/>
      <c r="F19" s="345"/>
      <c r="G19" s="345"/>
      <c r="H19" s="345"/>
      <c r="I19" s="345"/>
      <c r="J19" s="346"/>
      <c r="K19" s="376"/>
      <c r="L19" s="380" t="s">
        <v>509</v>
      </c>
      <c r="M19" s="380" t="s">
        <v>674</v>
      </c>
      <c r="N19" s="381" t="s">
        <v>640</v>
      </c>
      <c r="O19" s="380"/>
      <c r="P19" s="382">
        <v>3000</v>
      </c>
    </row>
    <row r="20" spans="1:16" ht="33.75" hidden="1" thickBot="1" x14ac:dyDescent="0.3">
      <c r="A20" s="592"/>
      <c r="B20" s="594"/>
      <c r="C20" s="593"/>
      <c r="D20" s="594"/>
      <c r="E20" s="383" t="s">
        <v>675</v>
      </c>
      <c r="F20" s="345"/>
      <c r="G20" s="344" t="s">
        <v>638</v>
      </c>
      <c r="H20" s="345"/>
      <c r="I20" s="345"/>
      <c r="J20" s="346"/>
      <c r="K20" s="376"/>
      <c r="L20" s="384" t="s">
        <v>508</v>
      </c>
      <c r="M20" s="385" t="s">
        <v>676</v>
      </c>
      <c r="N20" s="386" t="s">
        <v>640</v>
      </c>
      <c r="O20" s="387" t="s">
        <v>641</v>
      </c>
      <c r="P20" s="388">
        <v>6500</v>
      </c>
    </row>
    <row r="21" spans="1:16" ht="29.25" thickBot="1" x14ac:dyDescent="0.3">
      <c r="A21" s="353"/>
      <c r="B21" s="354"/>
      <c r="D21" s="354"/>
      <c r="E21" s="357"/>
      <c r="F21" s="345"/>
      <c r="G21" s="344"/>
      <c r="H21" s="345"/>
      <c r="I21" s="345"/>
      <c r="J21" s="346"/>
      <c r="K21" s="376"/>
      <c r="L21" s="345" t="s">
        <v>509</v>
      </c>
      <c r="M21" s="346" t="s">
        <v>677</v>
      </c>
      <c r="N21" s="376" t="s">
        <v>640</v>
      </c>
      <c r="O21" s="389"/>
      <c r="P21" s="360">
        <v>1000</v>
      </c>
    </row>
    <row r="22" spans="1:16" ht="72" hidden="1" thickBot="1" x14ac:dyDescent="0.3">
      <c r="A22" s="592"/>
      <c r="B22" s="594"/>
      <c r="C22" s="702" t="s">
        <v>678</v>
      </c>
      <c r="D22" s="607"/>
      <c r="E22" s="343" t="s">
        <v>679</v>
      </c>
      <c r="F22" s="345"/>
      <c r="G22" s="344" t="s">
        <v>638</v>
      </c>
      <c r="H22" s="345"/>
      <c r="I22" s="345"/>
      <c r="J22" s="346"/>
      <c r="K22" s="346"/>
      <c r="L22" s="390" t="s">
        <v>508</v>
      </c>
      <c r="M22" s="347" t="s">
        <v>680</v>
      </c>
      <c r="N22" s="391" t="s">
        <v>640</v>
      </c>
      <c r="O22" s="387" t="s">
        <v>641</v>
      </c>
      <c r="P22" s="349">
        <v>13500</v>
      </c>
    </row>
    <row r="23" spans="1:16" ht="79.5" customHeight="1" thickBot="1" x14ac:dyDescent="0.3">
      <c r="A23" s="592"/>
      <c r="B23" s="594"/>
      <c r="C23" s="740"/>
      <c r="D23" s="619"/>
      <c r="E23" s="351" t="s">
        <v>681</v>
      </c>
      <c r="F23" s="345"/>
      <c r="G23" s="392" t="s">
        <v>638</v>
      </c>
      <c r="H23" s="345"/>
      <c r="I23" s="345"/>
      <c r="J23" s="346"/>
      <c r="K23" s="346"/>
      <c r="L23" s="346" t="s">
        <v>509</v>
      </c>
      <c r="M23" s="346" t="s">
        <v>682</v>
      </c>
      <c r="N23" s="359" t="s">
        <v>640</v>
      </c>
      <c r="O23" s="346"/>
      <c r="P23" s="360">
        <v>2000</v>
      </c>
    </row>
    <row r="24" spans="1:16" ht="134.25" hidden="1" customHeight="1" thickBot="1" x14ac:dyDescent="0.3">
      <c r="A24" s="592"/>
      <c r="B24" s="594"/>
      <c r="C24" s="741" t="s">
        <v>683</v>
      </c>
      <c r="D24" s="742"/>
      <c r="E24" s="622" t="s">
        <v>684</v>
      </c>
      <c r="F24" s="589"/>
      <c r="G24" s="577" t="s">
        <v>638</v>
      </c>
      <c r="H24" s="577" t="s">
        <v>638</v>
      </c>
      <c r="I24" s="582"/>
      <c r="J24" s="582"/>
      <c r="K24" s="582"/>
      <c r="L24" s="578" t="s">
        <v>508</v>
      </c>
      <c r="M24" s="579" t="s">
        <v>685</v>
      </c>
      <c r="N24" s="602" t="s">
        <v>640</v>
      </c>
      <c r="O24" s="571" t="s">
        <v>651</v>
      </c>
      <c r="P24" s="572">
        <v>9000</v>
      </c>
    </row>
    <row r="25" spans="1:16" hidden="1" x14ac:dyDescent="0.25">
      <c r="A25" s="592"/>
      <c r="B25" s="594"/>
      <c r="C25" s="560"/>
      <c r="D25" s="559"/>
      <c r="E25" s="623"/>
      <c r="F25" s="739"/>
      <c r="G25" s="652"/>
      <c r="H25" s="652"/>
      <c r="I25" s="734"/>
      <c r="J25" s="734"/>
      <c r="K25" s="734"/>
      <c r="L25" s="735"/>
      <c r="M25" s="654"/>
      <c r="N25" s="736"/>
      <c r="O25" s="737"/>
      <c r="P25" s="738"/>
    </row>
    <row r="26" spans="1:16" ht="29.25" thickBot="1" x14ac:dyDescent="0.3">
      <c r="A26" s="353"/>
      <c r="B26" s="354"/>
      <c r="E26" s="379"/>
      <c r="F26" s="393"/>
      <c r="G26" s="394"/>
      <c r="H26" s="394"/>
      <c r="I26" s="395"/>
      <c r="J26" s="395"/>
      <c r="K26" s="395"/>
      <c r="L26" s="396" t="s">
        <v>509</v>
      </c>
      <c r="M26" s="397" t="s">
        <v>677</v>
      </c>
      <c r="N26" s="398" t="s">
        <v>640</v>
      </c>
      <c r="O26" s="395"/>
      <c r="P26" s="399">
        <v>1000</v>
      </c>
    </row>
    <row r="27" spans="1:16" ht="41.25" hidden="1" thickBot="1" x14ac:dyDescent="0.3">
      <c r="A27" s="618"/>
      <c r="B27" s="619"/>
      <c r="C27" s="729" t="s">
        <v>657</v>
      </c>
      <c r="D27" s="730"/>
      <c r="E27" s="351" t="s">
        <v>686</v>
      </c>
      <c r="F27" s="389"/>
      <c r="G27" s="400" t="s">
        <v>638</v>
      </c>
      <c r="H27" s="400" t="s">
        <v>638</v>
      </c>
      <c r="I27" s="401"/>
      <c r="J27" s="358"/>
      <c r="K27" s="358"/>
      <c r="L27" s="361" t="s">
        <v>508</v>
      </c>
      <c r="M27" s="361" t="s">
        <v>687</v>
      </c>
      <c r="N27" s="362" t="s">
        <v>640</v>
      </c>
      <c r="O27" s="361" t="s">
        <v>651</v>
      </c>
      <c r="P27" s="363">
        <v>4000</v>
      </c>
    </row>
    <row r="28" spans="1:16" ht="159.75" customHeight="1" x14ac:dyDescent="0.25">
      <c r="A28" s="731" t="s">
        <v>688</v>
      </c>
      <c r="B28" s="732"/>
      <c r="C28" s="733" t="s">
        <v>689</v>
      </c>
      <c r="D28" s="725"/>
      <c r="E28" s="725" t="s">
        <v>690</v>
      </c>
      <c r="F28" s="718"/>
      <c r="G28" s="727" t="s">
        <v>638</v>
      </c>
      <c r="H28" s="718"/>
      <c r="I28" s="718"/>
      <c r="J28" s="718"/>
      <c r="K28" s="718"/>
      <c r="L28" s="719" t="s">
        <v>509</v>
      </c>
      <c r="M28" s="721" t="s">
        <v>691</v>
      </c>
      <c r="N28" s="721" t="s">
        <v>640</v>
      </c>
      <c r="O28" s="718"/>
      <c r="P28" s="723">
        <v>1000</v>
      </c>
    </row>
    <row r="29" spans="1:16" hidden="1" x14ac:dyDescent="0.25">
      <c r="A29" s="711" t="s">
        <v>692</v>
      </c>
      <c r="B29" s="712"/>
      <c r="C29" s="713"/>
      <c r="D29" s="705"/>
      <c r="E29" s="726"/>
      <c r="F29" s="705"/>
      <c r="G29" s="728"/>
      <c r="H29" s="705"/>
      <c r="I29" s="705"/>
      <c r="J29" s="705"/>
      <c r="K29" s="705"/>
      <c r="L29" s="720"/>
      <c r="M29" s="722"/>
      <c r="N29" s="722"/>
      <c r="O29" s="705"/>
      <c r="P29" s="724"/>
    </row>
    <row r="30" spans="1:16" ht="57" x14ac:dyDescent="0.25">
      <c r="A30" s="711" t="s">
        <v>693</v>
      </c>
      <c r="B30" s="712"/>
      <c r="C30" s="714" t="s">
        <v>694</v>
      </c>
      <c r="D30" s="715"/>
      <c r="E30" s="402" t="s">
        <v>695</v>
      </c>
      <c r="F30" s="396"/>
      <c r="G30" s="403" t="s">
        <v>638</v>
      </c>
      <c r="H30" s="396"/>
      <c r="I30" s="396"/>
      <c r="J30" s="396"/>
      <c r="K30" s="396"/>
      <c r="L30" s="396" t="s">
        <v>509</v>
      </c>
      <c r="M30" s="396" t="s">
        <v>696</v>
      </c>
      <c r="N30" s="397" t="s">
        <v>640</v>
      </c>
      <c r="O30" s="396"/>
      <c r="P30" s="404">
        <v>3000</v>
      </c>
    </row>
    <row r="31" spans="1:16" ht="28.5" hidden="1" x14ac:dyDescent="0.25">
      <c r="A31" s="711" t="s">
        <v>697</v>
      </c>
      <c r="B31" s="712"/>
      <c r="C31" s="716" t="s">
        <v>424</v>
      </c>
      <c r="D31" s="717"/>
      <c r="E31" s="402" t="s">
        <v>698</v>
      </c>
      <c r="F31" s="396"/>
      <c r="G31" s="403" t="s">
        <v>638</v>
      </c>
      <c r="H31" s="396"/>
      <c r="I31" s="396"/>
      <c r="J31" s="396"/>
      <c r="K31" s="396"/>
      <c r="L31" s="405" t="s">
        <v>508</v>
      </c>
      <c r="M31" s="405" t="s">
        <v>699</v>
      </c>
      <c r="N31" s="406" t="s">
        <v>640</v>
      </c>
      <c r="O31" s="405" t="s">
        <v>651</v>
      </c>
      <c r="P31" s="407">
        <v>57000</v>
      </c>
    </row>
    <row r="32" spans="1:16" ht="93.75" hidden="1" customHeight="1" x14ac:dyDescent="0.25">
      <c r="A32" s="711" t="s">
        <v>661</v>
      </c>
      <c r="B32" s="712"/>
      <c r="C32" s="598" t="s">
        <v>700</v>
      </c>
      <c r="D32" s="599"/>
      <c r="E32" s="708" t="s">
        <v>701</v>
      </c>
      <c r="F32" s="705"/>
      <c r="G32" s="705"/>
      <c r="H32" s="703" t="s">
        <v>638</v>
      </c>
      <c r="I32" s="703" t="s">
        <v>638</v>
      </c>
      <c r="J32" s="709" t="s">
        <v>638</v>
      </c>
      <c r="K32" s="709" t="s">
        <v>638</v>
      </c>
      <c r="L32" s="706" t="s">
        <v>508</v>
      </c>
      <c r="M32" s="698" t="s">
        <v>702</v>
      </c>
      <c r="N32" s="710" t="s">
        <v>640</v>
      </c>
      <c r="O32" s="700" t="s">
        <v>651</v>
      </c>
      <c r="P32" s="701">
        <v>10000</v>
      </c>
    </row>
    <row r="33" spans="1:18" hidden="1" x14ac:dyDescent="0.25">
      <c r="A33" s="592"/>
      <c r="B33" s="594"/>
      <c r="C33" s="593"/>
      <c r="D33" s="594"/>
      <c r="E33" s="708"/>
      <c r="F33" s="705"/>
      <c r="G33" s="705"/>
      <c r="H33" s="703"/>
      <c r="I33" s="703"/>
      <c r="J33" s="709"/>
      <c r="K33" s="709"/>
      <c r="L33" s="706"/>
      <c r="M33" s="698"/>
      <c r="N33" s="710"/>
      <c r="O33" s="700"/>
      <c r="P33" s="701"/>
    </row>
    <row r="34" spans="1:18" ht="28.5" hidden="1" x14ac:dyDescent="0.25">
      <c r="A34" s="592"/>
      <c r="B34" s="594"/>
      <c r="C34" s="600" t="s">
        <v>653</v>
      </c>
      <c r="D34" s="601"/>
      <c r="E34" s="408" t="s">
        <v>703</v>
      </c>
      <c r="F34" s="396"/>
      <c r="G34" s="396"/>
      <c r="H34" s="403" t="s">
        <v>638</v>
      </c>
      <c r="I34" s="403" t="s">
        <v>638</v>
      </c>
      <c r="J34" s="409" t="s">
        <v>638</v>
      </c>
      <c r="K34" s="409" t="s">
        <v>638</v>
      </c>
      <c r="L34" s="405" t="s">
        <v>508</v>
      </c>
      <c r="M34" s="405" t="s">
        <v>699</v>
      </c>
      <c r="N34" s="406" t="s">
        <v>640</v>
      </c>
      <c r="O34" s="405" t="s">
        <v>651</v>
      </c>
      <c r="P34" s="407">
        <v>100000</v>
      </c>
    </row>
    <row r="35" spans="1:18" ht="54" hidden="1" x14ac:dyDescent="0.25">
      <c r="A35" s="592"/>
      <c r="B35" s="594"/>
      <c r="C35" s="702" t="s">
        <v>694</v>
      </c>
      <c r="D35" s="607"/>
      <c r="E35" s="352" t="s">
        <v>704</v>
      </c>
      <c r="F35" s="410"/>
      <c r="G35" s="396"/>
      <c r="H35" s="403" t="s">
        <v>638</v>
      </c>
      <c r="I35" s="403" t="s">
        <v>638</v>
      </c>
      <c r="J35" s="409" t="s">
        <v>638</v>
      </c>
      <c r="K35" s="409" t="s">
        <v>638</v>
      </c>
      <c r="L35" s="405" t="s">
        <v>508</v>
      </c>
      <c r="M35" s="405" t="s">
        <v>699</v>
      </c>
      <c r="N35" s="406" t="s">
        <v>640</v>
      </c>
      <c r="O35" s="405" t="s">
        <v>651</v>
      </c>
      <c r="P35" s="407">
        <v>55000</v>
      </c>
    </row>
    <row r="36" spans="1:18" ht="57.75" thickBot="1" x14ac:dyDescent="0.3">
      <c r="A36" s="353"/>
      <c r="B36" s="354"/>
      <c r="C36" s="355"/>
      <c r="D36" s="356"/>
      <c r="E36" s="357"/>
      <c r="F36" s="410"/>
      <c r="G36" s="396"/>
      <c r="H36" s="397"/>
      <c r="I36" s="397"/>
      <c r="J36" s="396"/>
      <c r="K36" s="396"/>
      <c r="L36" s="396" t="s">
        <v>509</v>
      </c>
      <c r="M36" s="396" t="s">
        <v>705</v>
      </c>
      <c r="N36" s="397"/>
      <c r="O36" s="396"/>
      <c r="P36" s="404">
        <v>8000</v>
      </c>
    </row>
    <row r="37" spans="1:18" ht="69" hidden="1" customHeight="1" x14ac:dyDescent="0.25">
      <c r="A37" s="592"/>
      <c r="B37" s="594"/>
      <c r="C37" s="598" t="s">
        <v>706</v>
      </c>
      <c r="D37" s="599"/>
      <c r="E37" s="707" t="s">
        <v>707</v>
      </c>
      <c r="F37" s="705"/>
      <c r="G37" s="703" t="s">
        <v>638</v>
      </c>
      <c r="H37" s="704"/>
      <c r="I37" s="705"/>
      <c r="J37" s="705"/>
      <c r="K37" s="705"/>
      <c r="L37" s="706" t="s">
        <v>508</v>
      </c>
      <c r="M37" s="698" t="s">
        <v>699</v>
      </c>
      <c r="N37" s="699" t="s">
        <v>640</v>
      </c>
      <c r="O37" s="700" t="s">
        <v>651</v>
      </c>
      <c r="P37" s="701">
        <v>10000</v>
      </c>
    </row>
    <row r="38" spans="1:18" hidden="1" x14ac:dyDescent="0.25">
      <c r="A38" s="592"/>
      <c r="B38" s="594"/>
      <c r="C38" s="593"/>
      <c r="D38" s="594"/>
      <c r="E38" s="708"/>
      <c r="F38" s="705"/>
      <c r="G38" s="703"/>
      <c r="H38" s="704"/>
      <c r="I38" s="705"/>
      <c r="J38" s="705"/>
      <c r="K38" s="705"/>
      <c r="L38" s="706"/>
      <c r="M38" s="698"/>
      <c r="N38" s="699"/>
      <c r="O38" s="700"/>
      <c r="P38" s="701"/>
    </row>
    <row r="39" spans="1:18" hidden="1" x14ac:dyDescent="0.25">
      <c r="A39" s="592"/>
      <c r="B39" s="594"/>
      <c r="C39" s="702" t="s">
        <v>678</v>
      </c>
      <c r="D39" s="607"/>
      <c r="E39" s="708"/>
      <c r="F39" s="705"/>
      <c r="G39" s="703"/>
      <c r="H39" s="704"/>
      <c r="I39" s="705"/>
      <c r="J39" s="705"/>
      <c r="K39" s="705"/>
      <c r="L39" s="706"/>
      <c r="M39" s="698"/>
      <c r="N39" s="699"/>
      <c r="O39" s="700"/>
      <c r="P39" s="701"/>
    </row>
    <row r="40" spans="1:18" ht="28.5" hidden="1" x14ac:dyDescent="0.25">
      <c r="A40" s="592"/>
      <c r="B40" s="594"/>
      <c r="C40" s="593"/>
      <c r="D40" s="594"/>
      <c r="E40" s="411" t="s">
        <v>708</v>
      </c>
      <c r="F40" s="396"/>
      <c r="G40" s="396"/>
      <c r="H40" s="403" t="s">
        <v>638</v>
      </c>
      <c r="I40" s="403" t="s">
        <v>638</v>
      </c>
      <c r="J40" s="409" t="s">
        <v>638</v>
      </c>
      <c r="K40" s="409" t="s">
        <v>638</v>
      </c>
      <c r="L40" s="405" t="s">
        <v>508</v>
      </c>
      <c r="M40" s="405" t="s">
        <v>699</v>
      </c>
      <c r="N40" s="406" t="s">
        <v>640</v>
      </c>
      <c r="O40" s="405" t="s">
        <v>651</v>
      </c>
      <c r="P40" s="407">
        <v>10000</v>
      </c>
    </row>
    <row r="41" spans="1:18" ht="57.75" thickBot="1" x14ac:dyDescent="0.3">
      <c r="A41" s="373"/>
      <c r="B41" s="374"/>
      <c r="C41" s="412"/>
      <c r="D41" s="374"/>
      <c r="E41" s="413"/>
      <c r="F41" s="414"/>
      <c r="G41" s="414"/>
      <c r="H41" s="415"/>
      <c r="I41" s="415"/>
      <c r="J41" s="414"/>
      <c r="K41" s="414"/>
      <c r="L41" s="414" t="s">
        <v>509</v>
      </c>
      <c r="M41" s="414" t="s">
        <v>709</v>
      </c>
      <c r="N41" s="415"/>
      <c r="O41" s="414"/>
      <c r="P41" s="416">
        <v>1000</v>
      </c>
    </row>
    <row r="42" spans="1:18" ht="15.75" hidden="1" customHeight="1" thickBot="1" x14ac:dyDescent="0.3">
      <c r="A42" s="693" t="s">
        <v>710</v>
      </c>
      <c r="B42" s="694"/>
      <c r="C42" s="694"/>
      <c r="D42" s="694"/>
      <c r="E42" s="695"/>
      <c r="F42" s="695"/>
      <c r="G42" s="695"/>
      <c r="H42" s="695"/>
      <c r="I42" s="695"/>
      <c r="J42" s="695"/>
      <c r="K42" s="695"/>
      <c r="L42" s="695"/>
      <c r="M42" s="695"/>
      <c r="N42" s="695"/>
      <c r="O42" s="696"/>
      <c r="P42" s="417">
        <f>SUM(P45:P76)</f>
        <v>236000</v>
      </c>
    </row>
    <row r="43" spans="1:18" ht="15.75" hidden="1" customHeight="1" thickBot="1" x14ac:dyDescent="0.3">
      <c r="A43" s="336"/>
      <c r="B43" s="337"/>
      <c r="C43" s="337"/>
      <c r="D43" s="337"/>
      <c r="E43" s="337"/>
      <c r="F43" s="337"/>
      <c r="G43" s="337"/>
      <c r="H43" s="337"/>
      <c r="I43" s="337"/>
      <c r="J43" s="337"/>
      <c r="K43" s="337"/>
      <c r="L43" s="337"/>
      <c r="M43" s="337"/>
      <c r="N43" s="337"/>
      <c r="O43" s="338" t="s">
        <v>508</v>
      </c>
      <c r="P43" s="339">
        <f>SUM(P45,P47,P48,P50,P53,P54:P55,P57,P58,P60,P61)</f>
        <v>85000</v>
      </c>
      <c r="R43" s="335"/>
    </row>
    <row r="44" spans="1:18" ht="15.75" hidden="1" customHeight="1" thickBot="1" x14ac:dyDescent="0.3">
      <c r="A44" s="340"/>
      <c r="B44" s="340"/>
      <c r="C44" s="340"/>
      <c r="D44" s="340"/>
      <c r="E44" s="340"/>
      <c r="F44" s="340"/>
      <c r="G44" s="340"/>
      <c r="H44" s="340"/>
      <c r="I44" s="340"/>
      <c r="J44" s="340"/>
      <c r="K44" s="340"/>
      <c r="L44" s="340"/>
      <c r="M44" s="340"/>
      <c r="N44" s="340"/>
      <c r="O44" s="341" t="s">
        <v>509</v>
      </c>
      <c r="P44" s="342">
        <f>SUM(P49,P52,P56,P59,P62,P64,P65,P67,P70,P71,P72,P76)</f>
        <v>151000</v>
      </c>
      <c r="R44" s="335"/>
    </row>
    <row r="45" spans="1:18" ht="146.25" hidden="1" customHeight="1" thickBot="1" x14ac:dyDescent="0.3">
      <c r="A45" s="684" t="s">
        <v>711</v>
      </c>
      <c r="B45" s="685"/>
      <c r="C45" s="615" t="s">
        <v>712</v>
      </c>
      <c r="D45" s="599"/>
      <c r="E45" s="616" t="s">
        <v>713</v>
      </c>
      <c r="F45" s="677" t="s">
        <v>638</v>
      </c>
      <c r="G45" s="697"/>
      <c r="H45" s="582"/>
      <c r="I45" s="582"/>
      <c r="J45" s="582"/>
      <c r="K45" s="582"/>
      <c r="L45" s="578" t="s">
        <v>508</v>
      </c>
      <c r="M45" s="603" t="s">
        <v>714</v>
      </c>
      <c r="N45" s="602" t="s">
        <v>640</v>
      </c>
      <c r="O45" s="571" t="s">
        <v>651</v>
      </c>
      <c r="P45" s="572">
        <v>1000</v>
      </c>
    </row>
    <row r="46" spans="1:18" ht="15.75" hidden="1" thickBot="1" x14ac:dyDescent="0.3">
      <c r="A46" s="559"/>
      <c r="B46" s="593"/>
      <c r="C46" s="592"/>
      <c r="D46" s="594"/>
      <c r="E46" s="616"/>
      <c r="F46" s="677"/>
      <c r="G46" s="697"/>
      <c r="H46" s="582"/>
      <c r="I46" s="582"/>
      <c r="J46" s="582"/>
      <c r="K46" s="582"/>
      <c r="L46" s="578"/>
      <c r="M46" s="603"/>
      <c r="N46" s="602"/>
      <c r="O46" s="571"/>
      <c r="P46" s="572"/>
    </row>
    <row r="47" spans="1:18" ht="41.25" hidden="1" thickBot="1" x14ac:dyDescent="0.3">
      <c r="A47" s="681" t="s">
        <v>692</v>
      </c>
      <c r="B47" s="683"/>
      <c r="C47" s="606" t="s">
        <v>694</v>
      </c>
      <c r="D47" s="607"/>
      <c r="E47" s="351" t="s">
        <v>715</v>
      </c>
      <c r="F47" s="418" t="s">
        <v>638</v>
      </c>
      <c r="G47" s="418" t="s">
        <v>638</v>
      </c>
      <c r="H47" s="359"/>
      <c r="I47" s="359"/>
      <c r="J47" s="346"/>
      <c r="K47" s="346"/>
      <c r="L47" s="347" t="s">
        <v>508</v>
      </c>
      <c r="M47" s="347" t="s">
        <v>714</v>
      </c>
      <c r="N47" s="348" t="s">
        <v>640</v>
      </c>
      <c r="O47" s="347" t="s">
        <v>651</v>
      </c>
      <c r="P47" s="349">
        <v>25000</v>
      </c>
    </row>
    <row r="48" spans="1:18" ht="29.25" hidden="1" thickBot="1" x14ac:dyDescent="0.3">
      <c r="A48" s="681" t="s">
        <v>693</v>
      </c>
      <c r="B48" s="683"/>
      <c r="C48" s="686" t="s">
        <v>424</v>
      </c>
      <c r="D48" s="600"/>
      <c r="E48" s="375" t="s">
        <v>716</v>
      </c>
      <c r="F48" s="359"/>
      <c r="G48" s="418" t="s">
        <v>638</v>
      </c>
      <c r="H48" s="359"/>
      <c r="I48" s="359"/>
      <c r="J48" s="346"/>
      <c r="K48" s="346"/>
      <c r="L48" s="347" t="s">
        <v>508</v>
      </c>
      <c r="M48" s="347" t="s">
        <v>714</v>
      </c>
      <c r="N48" s="348" t="s">
        <v>640</v>
      </c>
      <c r="O48" s="347" t="s">
        <v>651</v>
      </c>
      <c r="P48" s="349">
        <v>12000</v>
      </c>
    </row>
    <row r="49" spans="1:16" ht="29.25" thickBot="1" x14ac:dyDescent="0.3">
      <c r="A49" s="419"/>
      <c r="B49" s="420"/>
      <c r="C49" s="421"/>
      <c r="D49" s="378"/>
      <c r="E49" s="422"/>
      <c r="F49" s="359"/>
      <c r="G49" s="359"/>
      <c r="H49" s="359"/>
      <c r="I49" s="359"/>
      <c r="J49" s="346"/>
      <c r="K49" s="346"/>
      <c r="L49" s="346" t="s">
        <v>509</v>
      </c>
      <c r="M49" s="346" t="s">
        <v>677</v>
      </c>
      <c r="N49" s="359"/>
      <c r="O49" s="346"/>
      <c r="P49" s="360">
        <v>1000</v>
      </c>
    </row>
    <row r="50" spans="1:16" ht="107.25" hidden="1" customHeight="1" thickBot="1" x14ac:dyDescent="0.3">
      <c r="A50" s="681" t="s">
        <v>697</v>
      </c>
      <c r="B50" s="683"/>
      <c r="C50" s="615" t="s">
        <v>717</v>
      </c>
      <c r="D50" s="598"/>
      <c r="E50" s="622" t="s">
        <v>718</v>
      </c>
      <c r="F50" s="692"/>
      <c r="G50" s="677" t="s">
        <v>638</v>
      </c>
      <c r="H50" s="582"/>
      <c r="I50" s="582"/>
      <c r="J50" s="582"/>
      <c r="K50" s="582"/>
      <c r="L50" s="578" t="s">
        <v>508</v>
      </c>
      <c r="M50" s="603" t="s">
        <v>714</v>
      </c>
      <c r="N50" s="602" t="s">
        <v>640</v>
      </c>
      <c r="O50" s="571" t="s">
        <v>651</v>
      </c>
      <c r="P50" s="572">
        <v>1000</v>
      </c>
    </row>
    <row r="51" spans="1:16" ht="15.75" hidden="1" customHeight="1" thickBot="1" x14ac:dyDescent="0.3">
      <c r="A51" s="681" t="s">
        <v>661</v>
      </c>
      <c r="B51" s="683"/>
      <c r="C51" s="592"/>
      <c r="D51" s="593"/>
      <c r="E51" s="623"/>
      <c r="F51" s="692"/>
      <c r="G51" s="677"/>
      <c r="H51" s="582"/>
      <c r="I51" s="582"/>
      <c r="J51" s="582"/>
      <c r="K51" s="582"/>
      <c r="L51" s="578"/>
      <c r="M51" s="603"/>
      <c r="N51" s="602"/>
      <c r="O51" s="571"/>
      <c r="P51" s="572"/>
    </row>
    <row r="52" spans="1:16" ht="72" thickBot="1" x14ac:dyDescent="0.3">
      <c r="A52" s="419"/>
      <c r="B52" s="420"/>
      <c r="C52" s="353"/>
      <c r="E52" s="379"/>
      <c r="F52" s="423"/>
      <c r="G52" s="359"/>
      <c r="H52" s="424"/>
      <c r="I52" s="424"/>
      <c r="J52" s="424"/>
      <c r="K52" s="424"/>
      <c r="L52" s="346" t="s">
        <v>509</v>
      </c>
      <c r="M52" s="346" t="s">
        <v>719</v>
      </c>
      <c r="N52" s="359" t="s">
        <v>640</v>
      </c>
      <c r="O52" s="346"/>
      <c r="P52" s="360">
        <v>3000</v>
      </c>
    </row>
    <row r="53" spans="1:16" ht="29.25" hidden="1" thickBot="1" x14ac:dyDescent="0.3">
      <c r="A53" s="559"/>
      <c r="B53" s="593"/>
      <c r="C53" s="606" t="s">
        <v>694</v>
      </c>
      <c r="D53" s="607"/>
      <c r="E53" s="351" t="s">
        <v>720</v>
      </c>
      <c r="F53" s="425"/>
      <c r="G53" s="418" t="s">
        <v>638</v>
      </c>
      <c r="H53" s="359"/>
      <c r="I53" s="359"/>
      <c r="J53" s="346"/>
      <c r="K53" s="346"/>
      <c r="L53" s="347" t="s">
        <v>508</v>
      </c>
      <c r="M53" s="347" t="s">
        <v>721</v>
      </c>
      <c r="N53" s="348" t="s">
        <v>640</v>
      </c>
      <c r="O53" s="347" t="s">
        <v>651</v>
      </c>
      <c r="P53" s="349">
        <v>3000</v>
      </c>
    </row>
    <row r="54" spans="1:16" ht="150.75" hidden="1" customHeight="1" thickBot="1" x14ac:dyDescent="0.3">
      <c r="A54" s="563"/>
      <c r="B54" s="687"/>
      <c r="C54" s="688" t="s">
        <v>424</v>
      </c>
      <c r="D54" s="689"/>
      <c r="E54" s="659" t="s">
        <v>722</v>
      </c>
      <c r="F54" s="661"/>
      <c r="G54" s="665" t="s">
        <v>638</v>
      </c>
      <c r="H54" s="665" t="s">
        <v>638</v>
      </c>
      <c r="I54" s="642"/>
      <c r="J54" s="642"/>
      <c r="K54" s="642"/>
      <c r="L54" s="579" t="s">
        <v>508</v>
      </c>
      <c r="M54" s="347" t="s">
        <v>723</v>
      </c>
      <c r="N54" s="579" t="s">
        <v>640</v>
      </c>
      <c r="O54" s="347" t="s">
        <v>651</v>
      </c>
      <c r="P54" s="349">
        <v>15000</v>
      </c>
    </row>
    <row r="55" spans="1:16" ht="43.5" hidden="1" thickBot="1" x14ac:dyDescent="0.3">
      <c r="A55" s="426"/>
      <c r="C55" s="690"/>
      <c r="D55" s="691"/>
      <c r="E55" s="660"/>
      <c r="F55" s="662"/>
      <c r="G55" s="666"/>
      <c r="H55" s="666"/>
      <c r="I55" s="643"/>
      <c r="J55" s="643"/>
      <c r="K55" s="643"/>
      <c r="L55" s="580"/>
      <c r="M55" s="347" t="s">
        <v>724</v>
      </c>
      <c r="N55" s="580"/>
      <c r="O55" s="347" t="s">
        <v>651</v>
      </c>
      <c r="P55" s="349">
        <v>15000</v>
      </c>
    </row>
    <row r="56" spans="1:16" ht="81.75" customHeight="1" thickBot="1" x14ac:dyDescent="0.3">
      <c r="A56" s="684" t="s">
        <v>725</v>
      </c>
      <c r="B56" s="685"/>
      <c r="C56" s="686" t="s">
        <v>726</v>
      </c>
      <c r="D56" s="600"/>
      <c r="E56" s="375" t="s">
        <v>727</v>
      </c>
      <c r="F56" s="418" t="s">
        <v>638</v>
      </c>
      <c r="G56" s="418" t="s">
        <v>638</v>
      </c>
      <c r="H56" s="346"/>
      <c r="I56" s="346"/>
      <c r="J56" s="346"/>
      <c r="K56" s="346"/>
      <c r="L56" s="346" t="s">
        <v>728</v>
      </c>
      <c r="M56" s="346" t="s">
        <v>729</v>
      </c>
      <c r="N56" s="359" t="s">
        <v>640</v>
      </c>
      <c r="O56" s="346"/>
      <c r="P56" s="360">
        <v>3000</v>
      </c>
    </row>
    <row r="57" spans="1:16" ht="81.75" hidden="1" customHeight="1" thickBot="1" x14ac:dyDescent="0.3">
      <c r="A57" s="427"/>
      <c r="B57" s="428"/>
      <c r="C57" s="421"/>
      <c r="D57" s="378"/>
      <c r="E57" s="379"/>
      <c r="F57" s="359"/>
      <c r="G57" s="359"/>
      <c r="H57" s="346"/>
      <c r="I57" s="346"/>
      <c r="J57" s="346"/>
      <c r="K57" s="346"/>
      <c r="L57" s="429" t="s">
        <v>508</v>
      </c>
      <c r="M57" s="429" t="s">
        <v>714</v>
      </c>
      <c r="N57" s="430" t="s">
        <v>640</v>
      </c>
      <c r="O57" s="429" t="s">
        <v>651</v>
      </c>
      <c r="P57" s="431">
        <v>1500</v>
      </c>
    </row>
    <row r="58" spans="1:16" ht="41.25" hidden="1" thickBot="1" x14ac:dyDescent="0.3">
      <c r="A58" s="681" t="s">
        <v>692</v>
      </c>
      <c r="B58" s="683"/>
      <c r="C58" s="606" t="s">
        <v>694</v>
      </c>
      <c r="D58" s="607"/>
      <c r="E58" s="351" t="s">
        <v>730</v>
      </c>
      <c r="F58" s="359"/>
      <c r="G58" s="418" t="s">
        <v>638</v>
      </c>
      <c r="H58" s="346"/>
      <c r="I58" s="346"/>
      <c r="J58" s="346"/>
      <c r="K58" s="346"/>
      <c r="L58" s="429" t="s">
        <v>508</v>
      </c>
      <c r="M58" s="429" t="s">
        <v>714</v>
      </c>
      <c r="N58" s="430" t="s">
        <v>640</v>
      </c>
      <c r="O58" s="429" t="s">
        <v>651</v>
      </c>
      <c r="P58" s="431">
        <v>5000</v>
      </c>
    </row>
    <row r="59" spans="1:16" ht="29.25" thickBot="1" x14ac:dyDescent="0.3">
      <c r="A59" s="681" t="s">
        <v>693</v>
      </c>
      <c r="B59" s="683"/>
      <c r="C59" s="592"/>
      <c r="D59" s="593"/>
      <c r="E59" s="375" t="s">
        <v>731</v>
      </c>
      <c r="F59" s="359"/>
      <c r="G59" s="418" t="s">
        <v>638</v>
      </c>
      <c r="H59" s="346"/>
      <c r="I59" s="346"/>
      <c r="J59" s="346"/>
      <c r="K59" s="346"/>
      <c r="L59" s="346" t="s">
        <v>509</v>
      </c>
      <c r="M59" s="346" t="s">
        <v>729</v>
      </c>
      <c r="N59" s="359" t="s">
        <v>640</v>
      </c>
      <c r="O59" s="346"/>
      <c r="P59" s="360">
        <v>2000</v>
      </c>
    </row>
    <row r="60" spans="1:16" ht="29.25" hidden="1" thickBot="1" x14ac:dyDescent="0.3">
      <c r="A60" s="419"/>
      <c r="B60" s="420"/>
      <c r="C60" s="353"/>
      <c r="E60" s="379"/>
      <c r="F60" s="359"/>
      <c r="G60" s="359"/>
      <c r="H60" s="346"/>
      <c r="I60" s="346"/>
      <c r="J60" s="346"/>
      <c r="K60" s="346"/>
      <c r="L60" s="429" t="s">
        <v>508</v>
      </c>
      <c r="M60" s="429" t="s">
        <v>714</v>
      </c>
      <c r="N60" s="430" t="s">
        <v>640</v>
      </c>
      <c r="O60" s="429" t="s">
        <v>651</v>
      </c>
      <c r="P60" s="431">
        <v>1500</v>
      </c>
    </row>
    <row r="61" spans="1:16" ht="29.25" hidden="1" thickBot="1" x14ac:dyDescent="0.3">
      <c r="A61" s="681" t="s">
        <v>697</v>
      </c>
      <c r="B61" s="683"/>
      <c r="C61" s="618"/>
      <c r="D61" s="619"/>
      <c r="E61" s="343" t="s">
        <v>732</v>
      </c>
      <c r="F61" s="359"/>
      <c r="G61" s="418" t="s">
        <v>638</v>
      </c>
      <c r="H61" s="346"/>
      <c r="I61" s="346"/>
      <c r="J61" s="346"/>
      <c r="K61" s="346"/>
      <c r="L61" s="429" t="s">
        <v>508</v>
      </c>
      <c r="M61" s="429" t="s">
        <v>714</v>
      </c>
      <c r="N61" s="430" t="s">
        <v>640</v>
      </c>
      <c r="O61" s="429" t="s">
        <v>651</v>
      </c>
      <c r="P61" s="431">
        <v>5000</v>
      </c>
    </row>
    <row r="62" spans="1:16" ht="45.6" customHeight="1" thickBot="1" x14ac:dyDescent="0.3">
      <c r="A62" s="681" t="s">
        <v>661</v>
      </c>
      <c r="B62" s="682"/>
      <c r="C62" s="575" t="s">
        <v>733</v>
      </c>
      <c r="D62" s="575"/>
      <c r="E62" s="561" t="s">
        <v>734</v>
      </c>
      <c r="F62" s="582"/>
      <c r="G62" s="677" t="s">
        <v>638</v>
      </c>
      <c r="H62" s="582"/>
      <c r="I62" s="582"/>
      <c r="J62" s="582"/>
      <c r="K62" s="582"/>
      <c r="L62" s="667" t="s">
        <v>509</v>
      </c>
      <c r="M62" s="642" t="s">
        <v>735</v>
      </c>
      <c r="N62" s="642" t="s">
        <v>640</v>
      </c>
      <c r="O62" s="582"/>
      <c r="P62" s="679">
        <v>1500</v>
      </c>
    </row>
    <row r="63" spans="1:16" ht="15.75" hidden="1" thickBot="1" x14ac:dyDescent="0.3">
      <c r="A63" s="559"/>
      <c r="B63" s="560"/>
      <c r="C63" s="583"/>
      <c r="D63" s="583"/>
      <c r="E63" s="561"/>
      <c r="F63" s="582"/>
      <c r="G63" s="677"/>
      <c r="H63" s="582"/>
      <c r="I63" s="582"/>
      <c r="J63" s="582"/>
      <c r="K63" s="582"/>
      <c r="L63" s="667"/>
      <c r="M63" s="643"/>
      <c r="N63" s="643"/>
      <c r="O63" s="582"/>
      <c r="P63" s="679"/>
    </row>
    <row r="64" spans="1:16" ht="49.15" customHeight="1" thickBot="1" x14ac:dyDescent="0.3">
      <c r="A64" s="559"/>
      <c r="B64" s="560"/>
      <c r="C64" s="678" t="s">
        <v>694</v>
      </c>
      <c r="D64" s="678"/>
      <c r="E64" s="343" t="s">
        <v>736</v>
      </c>
      <c r="F64" s="359"/>
      <c r="G64" s="418" t="s">
        <v>638</v>
      </c>
      <c r="H64" s="359"/>
      <c r="I64" s="359"/>
      <c r="J64" s="346"/>
      <c r="K64" s="346"/>
      <c r="L64" s="346" t="s">
        <v>509</v>
      </c>
      <c r="M64" s="346" t="s">
        <v>737</v>
      </c>
      <c r="N64" s="359" t="s">
        <v>640</v>
      </c>
      <c r="O64" s="346"/>
      <c r="P64" s="360">
        <v>5000</v>
      </c>
    </row>
    <row r="65" spans="1:18" ht="30.6" customHeight="1" thickBot="1" x14ac:dyDescent="0.3">
      <c r="A65" s="559"/>
      <c r="B65" s="560"/>
      <c r="C65" s="583"/>
      <c r="D65" s="583"/>
      <c r="E65" s="561" t="s">
        <v>738</v>
      </c>
      <c r="F65" s="582"/>
      <c r="G65" s="677" t="s">
        <v>638</v>
      </c>
      <c r="H65" s="582"/>
      <c r="I65" s="582"/>
      <c r="J65" s="582"/>
      <c r="K65" s="582"/>
      <c r="L65" s="667" t="s">
        <v>509</v>
      </c>
      <c r="M65" s="642" t="s">
        <v>739</v>
      </c>
      <c r="N65" s="680" t="s">
        <v>640</v>
      </c>
      <c r="O65" s="582"/>
      <c r="P65" s="679">
        <v>37500</v>
      </c>
    </row>
    <row r="66" spans="1:18" ht="15.75" hidden="1" thickBot="1" x14ac:dyDescent="0.3">
      <c r="A66" s="559"/>
      <c r="B66" s="560"/>
      <c r="C66" s="576"/>
      <c r="D66" s="576"/>
      <c r="E66" s="561"/>
      <c r="F66" s="582"/>
      <c r="G66" s="677"/>
      <c r="H66" s="582"/>
      <c r="I66" s="582"/>
      <c r="J66" s="582"/>
      <c r="K66" s="582"/>
      <c r="L66" s="667"/>
      <c r="M66" s="643"/>
      <c r="N66" s="680"/>
      <c r="O66" s="582"/>
      <c r="P66" s="679"/>
    </row>
    <row r="67" spans="1:18" ht="60" customHeight="1" thickBot="1" x14ac:dyDescent="0.3">
      <c r="A67" s="559"/>
      <c r="B67" s="560"/>
      <c r="C67" s="562" t="s">
        <v>740</v>
      </c>
      <c r="D67" s="562"/>
      <c r="E67" s="561" t="s">
        <v>741</v>
      </c>
      <c r="F67" s="582"/>
      <c r="G67" s="582"/>
      <c r="H67" s="677" t="s">
        <v>638</v>
      </c>
      <c r="I67" s="677" t="s">
        <v>638</v>
      </c>
      <c r="J67" s="582"/>
      <c r="K67" s="582"/>
      <c r="L67" s="667" t="s">
        <v>509</v>
      </c>
      <c r="M67" s="642" t="s">
        <v>739</v>
      </c>
      <c r="N67" s="680" t="s">
        <v>640</v>
      </c>
      <c r="O67" s="582"/>
      <c r="P67" s="679">
        <v>20000</v>
      </c>
    </row>
    <row r="68" spans="1:18" ht="15.75" hidden="1" thickBot="1" x14ac:dyDescent="0.3">
      <c r="A68" s="559"/>
      <c r="B68" s="560"/>
      <c r="C68" s="583"/>
      <c r="D68" s="583"/>
      <c r="E68" s="561"/>
      <c r="F68" s="582"/>
      <c r="G68" s="582"/>
      <c r="H68" s="677"/>
      <c r="I68" s="677"/>
      <c r="J68" s="582"/>
      <c r="K68" s="582"/>
      <c r="L68" s="667"/>
      <c r="M68" s="668"/>
      <c r="N68" s="680"/>
      <c r="O68" s="582"/>
      <c r="P68" s="679"/>
    </row>
    <row r="69" spans="1:18" ht="15.75" hidden="1" thickBot="1" x14ac:dyDescent="0.3">
      <c r="A69" s="559"/>
      <c r="B69" s="560"/>
      <c r="C69" s="678" t="s">
        <v>694</v>
      </c>
      <c r="D69" s="678"/>
      <c r="E69" s="561"/>
      <c r="F69" s="582"/>
      <c r="G69" s="582"/>
      <c r="H69" s="677"/>
      <c r="I69" s="677"/>
      <c r="J69" s="582"/>
      <c r="K69" s="582"/>
      <c r="L69" s="667"/>
      <c r="M69" s="643"/>
      <c r="N69" s="680"/>
      <c r="O69" s="582"/>
      <c r="P69" s="679"/>
    </row>
    <row r="70" spans="1:18" ht="82.9" customHeight="1" thickBot="1" x14ac:dyDescent="0.3">
      <c r="A70" s="559"/>
      <c r="B70" s="560"/>
      <c r="C70" s="583"/>
      <c r="D70" s="583"/>
      <c r="E70" s="343" t="s">
        <v>742</v>
      </c>
      <c r="F70" s="346"/>
      <c r="G70" s="346"/>
      <c r="H70" s="418" t="s">
        <v>638</v>
      </c>
      <c r="I70" s="418" t="s">
        <v>638</v>
      </c>
      <c r="J70" s="432" t="s">
        <v>638</v>
      </c>
      <c r="K70" s="432" t="s">
        <v>638</v>
      </c>
      <c r="L70" s="346" t="s">
        <v>509</v>
      </c>
      <c r="M70" s="346" t="s">
        <v>739</v>
      </c>
      <c r="N70" s="359" t="s">
        <v>640</v>
      </c>
      <c r="O70" s="346"/>
      <c r="P70" s="360">
        <v>55000</v>
      </c>
    </row>
    <row r="71" spans="1:18" ht="45" customHeight="1" thickBot="1" x14ac:dyDescent="0.3">
      <c r="A71" s="559"/>
      <c r="B71" s="560"/>
      <c r="C71" s="576"/>
      <c r="D71" s="576"/>
      <c r="E71" s="343" t="s">
        <v>743</v>
      </c>
      <c r="F71" s="346"/>
      <c r="G71" s="346"/>
      <c r="H71" s="418" t="s">
        <v>638</v>
      </c>
      <c r="I71" s="418" t="s">
        <v>638</v>
      </c>
      <c r="J71" s="432" t="s">
        <v>638</v>
      </c>
      <c r="K71" s="432" t="s">
        <v>638</v>
      </c>
      <c r="L71" s="346" t="s">
        <v>509</v>
      </c>
      <c r="M71" s="346" t="s">
        <v>744</v>
      </c>
      <c r="N71" s="359" t="s">
        <v>640</v>
      </c>
      <c r="O71" s="346"/>
      <c r="P71" s="360">
        <v>13000</v>
      </c>
    </row>
    <row r="72" spans="1:18" ht="94.15" customHeight="1" thickBot="1" x14ac:dyDescent="0.3">
      <c r="A72" s="559"/>
      <c r="B72" s="560"/>
      <c r="C72" s="562" t="s">
        <v>745</v>
      </c>
      <c r="D72" s="562"/>
      <c r="E72" s="561" t="s">
        <v>746</v>
      </c>
      <c r="F72" s="582"/>
      <c r="G72" s="582"/>
      <c r="H72" s="608" t="s">
        <v>638</v>
      </c>
      <c r="I72" s="677" t="s">
        <v>638</v>
      </c>
      <c r="J72" s="608" t="s">
        <v>638</v>
      </c>
      <c r="K72" s="608" t="s">
        <v>638</v>
      </c>
      <c r="L72" s="667" t="s">
        <v>509</v>
      </c>
      <c r="M72" s="642" t="s">
        <v>747</v>
      </c>
      <c r="N72" s="680" t="s">
        <v>640</v>
      </c>
      <c r="O72" s="582"/>
      <c r="P72" s="679">
        <v>5000</v>
      </c>
    </row>
    <row r="73" spans="1:18" ht="15.75" hidden="1" thickBot="1" x14ac:dyDescent="0.3">
      <c r="A73" s="559"/>
      <c r="B73" s="560"/>
      <c r="C73" s="583"/>
      <c r="D73" s="583"/>
      <c r="E73" s="561"/>
      <c r="F73" s="582"/>
      <c r="G73" s="582"/>
      <c r="H73" s="608"/>
      <c r="I73" s="677"/>
      <c r="J73" s="608"/>
      <c r="K73" s="608"/>
      <c r="L73" s="667"/>
      <c r="M73" s="668"/>
      <c r="N73" s="680"/>
      <c r="O73" s="582"/>
      <c r="P73" s="679"/>
    </row>
    <row r="74" spans="1:18" ht="15.75" hidden="1" thickBot="1" x14ac:dyDescent="0.3">
      <c r="A74" s="559"/>
      <c r="B74" s="560"/>
      <c r="C74" s="678" t="s">
        <v>694</v>
      </c>
      <c r="D74" s="678"/>
      <c r="E74" s="561"/>
      <c r="F74" s="582"/>
      <c r="G74" s="582"/>
      <c r="H74" s="608"/>
      <c r="I74" s="677"/>
      <c r="J74" s="608"/>
      <c r="K74" s="608"/>
      <c r="L74" s="667"/>
      <c r="M74" s="668"/>
      <c r="N74" s="680"/>
      <c r="O74" s="582"/>
      <c r="P74" s="679"/>
    </row>
    <row r="75" spans="1:18" ht="15.75" hidden="1" thickBot="1" x14ac:dyDescent="0.3">
      <c r="A75" s="559"/>
      <c r="B75" s="560"/>
      <c r="C75" s="583"/>
      <c r="D75" s="583"/>
      <c r="E75" s="561"/>
      <c r="F75" s="582"/>
      <c r="G75" s="582"/>
      <c r="H75" s="608"/>
      <c r="I75" s="677"/>
      <c r="J75" s="608"/>
      <c r="K75" s="608"/>
      <c r="L75" s="667"/>
      <c r="M75" s="643"/>
      <c r="N75" s="680"/>
      <c r="O75" s="582"/>
      <c r="P75" s="679"/>
    </row>
    <row r="76" spans="1:18" ht="90.6" customHeight="1" thickBot="1" x14ac:dyDescent="0.3">
      <c r="A76" s="563"/>
      <c r="B76" s="564"/>
      <c r="C76" s="576"/>
      <c r="D76" s="576"/>
      <c r="E76" s="343" t="s">
        <v>748</v>
      </c>
      <c r="F76" s="346"/>
      <c r="G76" s="346"/>
      <c r="H76" s="432" t="s">
        <v>638</v>
      </c>
      <c r="I76" s="418" t="s">
        <v>638</v>
      </c>
      <c r="J76" s="432" t="s">
        <v>638</v>
      </c>
      <c r="K76" s="432" t="s">
        <v>638</v>
      </c>
      <c r="L76" s="346" t="s">
        <v>509</v>
      </c>
      <c r="M76" s="346" t="s">
        <v>747</v>
      </c>
      <c r="N76" s="359" t="s">
        <v>640</v>
      </c>
      <c r="O76" s="346"/>
      <c r="P76" s="360">
        <v>5000</v>
      </c>
    </row>
    <row r="77" spans="1:18" ht="17.25" hidden="1" thickBot="1" x14ac:dyDescent="0.3">
      <c r="A77" s="669" t="s">
        <v>749</v>
      </c>
      <c r="B77" s="670"/>
      <c r="C77" s="670"/>
      <c r="D77" s="670"/>
      <c r="E77" s="670"/>
      <c r="F77" s="670"/>
      <c r="G77" s="670"/>
      <c r="H77" s="670"/>
      <c r="I77" s="670"/>
      <c r="J77" s="670"/>
      <c r="K77" s="670"/>
      <c r="L77" s="670"/>
      <c r="M77" s="670"/>
      <c r="N77" s="670"/>
      <c r="O77" s="671"/>
      <c r="P77" s="433">
        <f>SUM(P80:P118)</f>
        <v>424369</v>
      </c>
    </row>
    <row r="78" spans="1:18" ht="15.75" hidden="1" customHeight="1" thickBot="1" x14ac:dyDescent="0.3">
      <c r="A78" s="336"/>
      <c r="B78" s="337"/>
      <c r="C78" s="337"/>
      <c r="D78" s="337"/>
      <c r="E78" s="337"/>
      <c r="F78" s="337"/>
      <c r="G78" s="337"/>
      <c r="H78" s="337"/>
      <c r="I78" s="337"/>
      <c r="J78" s="337"/>
      <c r="K78" s="337"/>
      <c r="L78" s="337"/>
      <c r="M78" s="337"/>
      <c r="N78" s="337"/>
      <c r="O78" s="338" t="s">
        <v>508</v>
      </c>
      <c r="P78" s="339">
        <f>SUM(P80,P83,P84:P85,P87:P90,P91:P92,P94,P97,P99,P103,P104,P107,P108,P109,P112,P114,P115,P116)</f>
        <v>408369</v>
      </c>
      <c r="R78" s="335"/>
    </row>
    <row r="79" spans="1:18" ht="15.75" hidden="1" customHeight="1" thickBot="1" x14ac:dyDescent="0.3">
      <c r="A79" s="340"/>
      <c r="B79" s="340"/>
      <c r="C79" s="340"/>
      <c r="D79" s="340"/>
      <c r="E79" s="340"/>
      <c r="F79" s="340"/>
      <c r="G79" s="340"/>
      <c r="H79" s="340"/>
      <c r="I79" s="340"/>
      <c r="J79" s="340"/>
      <c r="K79" s="340"/>
      <c r="L79" s="340"/>
      <c r="M79" s="340"/>
      <c r="N79" s="340"/>
      <c r="O79" s="341" t="s">
        <v>509</v>
      </c>
      <c r="P79" s="342">
        <f>SUM(P82,P86,P93,P98,P102,P106,P113,P118)</f>
        <v>16000</v>
      </c>
      <c r="R79" s="335"/>
    </row>
    <row r="80" spans="1:18" ht="59.45" hidden="1" customHeight="1" thickBot="1" x14ac:dyDescent="0.3">
      <c r="A80" s="672" t="s">
        <v>750</v>
      </c>
      <c r="B80" s="673"/>
      <c r="C80" s="640" t="s">
        <v>751</v>
      </c>
      <c r="D80" s="641"/>
      <c r="E80" s="599" t="s">
        <v>752</v>
      </c>
      <c r="F80" s="589"/>
      <c r="G80" s="608" t="s">
        <v>638</v>
      </c>
      <c r="H80" s="676"/>
      <c r="I80" s="582"/>
      <c r="J80" s="582"/>
      <c r="K80" s="582"/>
      <c r="L80" s="578" t="s">
        <v>508</v>
      </c>
      <c r="M80" s="603" t="s">
        <v>753</v>
      </c>
      <c r="N80" s="602" t="s">
        <v>640</v>
      </c>
      <c r="O80" s="571" t="s">
        <v>641</v>
      </c>
      <c r="P80" s="572">
        <v>5500</v>
      </c>
    </row>
    <row r="81" spans="1:16" ht="15.75" hidden="1" thickBot="1" x14ac:dyDescent="0.3">
      <c r="A81" s="674"/>
      <c r="B81" s="675"/>
      <c r="C81" s="611"/>
      <c r="D81" s="612"/>
      <c r="E81" s="601"/>
      <c r="F81" s="589"/>
      <c r="G81" s="608"/>
      <c r="H81" s="676"/>
      <c r="I81" s="582"/>
      <c r="J81" s="582"/>
      <c r="K81" s="582"/>
      <c r="L81" s="578"/>
      <c r="M81" s="603"/>
      <c r="N81" s="602"/>
      <c r="O81" s="571"/>
      <c r="P81" s="572"/>
    </row>
    <row r="82" spans="1:16" ht="43.5" thickBot="1" x14ac:dyDescent="0.3">
      <c r="A82" s="674"/>
      <c r="B82" s="675"/>
      <c r="C82" s="353"/>
      <c r="D82" s="354"/>
      <c r="E82" s="357"/>
      <c r="F82" s="424"/>
      <c r="G82" s="346"/>
      <c r="H82" s="424"/>
      <c r="I82" s="424"/>
      <c r="J82" s="424"/>
      <c r="K82" s="424"/>
      <c r="L82" s="434" t="s">
        <v>509</v>
      </c>
      <c r="M82" s="435" t="s">
        <v>754</v>
      </c>
      <c r="N82" s="436" t="s">
        <v>640</v>
      </c>
      <c r="O82" s="437"/>
      <c r="P82" s="438">
        <v>1500</v>
      </c>
    </row>
    <row r="83" spans="1:16" ht="31.9" hidden="1" customHeight="1" thickBot="1" x14ac:dyDescent="0.3">
      <c r="A83" s="674"/>
      <c r="B83" s="675"/>
      <c r="C83" s="609" t="s">
        <v>694</v>
      </c>
      <c r="D83" s="610"/>
      <c r="E83" s="351" t="s">
        <v>755</v>
      </c>
      <c r="F83" s="346"/>
      <c r="G83" s="432" t="s">
        <v>638</v>
      </c>
      <c r="H83" s="439"/>
      <c r="I83" s="346"/>
      <c r="J83" s="346"/>
      <c r="K83" s="346"/>
      <c r="L83" s="347" t="s">
        <v>508</v>
      </c>
      <c r="M83" s="347" t="s">
        <v>753</v>
      </c>
      <c r="N83" s="348" t="s">
        <v>640</v>
      </c>
      <c r="O83" s="347" t="s">
        <v>641</v>
      </c>
      <c r="P83" s="349">
        <v>1500</v>
      </c>
    </row>
    <row r="84" spans="1:16" ht="38.450000000000003" hidden="1" customHeight="1" thickBot="1" x14ac:dyDescent="0.3">
      <c r="A84" s="674"/>
      <c r="B84" s="675"/>
      <c r="C84" s="655"/>
      <c r="D84" s="656"/>
      <c r="E84" s="659" t="s">
        <v>756</v>
      </c>
      <c r="F84" s="661"/>
      <c r="G84" s="663"/>
      <c r="H84" s="665" t="s">
        <v>638</v>
      </c>
      <c r="I84" s="642"/>
      <c r="J84" s="642"/>
      <c r="K84" s="642"/>
      <c r="L84" s="579" t="s">
        <v>508</v>
      </c>
      <c r="M84" s="347" t="s">
        <v>753</v>
      </c>
      <c r="N84" s="579" t="s">
        <v>640</v>
      </c>
      <c r="O84" s="347" t="s">
        <v>641</v>
      </c>
      <c r="P84" s="349">
        <v>17000</v>
      </c>
    </row>
    <row r="85" spans="1:16" ht="28.15" hidden="1" customHeight="1" thickBot="1" x14ac:dyDescent="0.3">
      <c r="A85" s="674"/>
      <c r="B85" s="675"/>
      <c r="C85" s="657"/>
      <c r="D85" s="658"/>
      <c r="E85" s="660"/>
      <c r="F85" s="662"/>
      <c r="G85" s="664"/>
      <c r="H85" s="666"/>
      <c r="I85" s="643"/>
      <c r="J85" s="643"/>
      <c r="K85" s="643"/>
      <c r="L85" s="580"/>
      <c r="M85" s="347" t="s">
        <v>757</v>
      </c>
      <c r="N85" s="580"/>
      <c r="O85" s="429" t="s">
        <v>651</v>
      </c>
      <c r="P85" s="349">
        <v>6000</v>
      </c>
    </row>
    <row r="86" spans="1:16" ht="43.5" thickBot="1" x14ac:dyDescent="0.3">
      <c r="A86" s="674"/>
      <c r="B86" s="675"/>
      <c r="C86" s="353"/>
      <c r="E86" s="379"/>
      <c r="F86" s="346"/>
      <c r="G86" s="439"/>
      <c r="H86" s="346"/>
      <c r="I86" s="346"/>
      <c r="J86" s="346"/>
      <c r="K86" s="346"/>
      <c r="L86" s="346" t="s">
        <v>509</v>
      </c>
      <c r="M86" s="359" t="s">
        <v>754</v>
      </c>
      <c r="N86" s="359"/>
      <c r="O86" s="346"/>
      <c r="P86" s="360">
        <v>1500</v>
      </c>
    </row>
    <row r="87" spans="1:16" ht="49.15" hidden="1" customHeight="1" thickBot="1" x14ac:dyDescent="0.3">
      <c r="A87" s="674"/>
      <c r="B87" s="675"/>
      <c r="C87" s="615" t="s">
        <v>758</v>
      </c>
      <c r="D87" s="599"/>
      <c r="E87" s="644" t="s">
        <v>759</v>
      </c>
      <c r="F87" s="647"/>
      <c r="G87" s="650"/>
      <c r="H87" s="652" t="s">
        <v>638</v>
      </c>
      <c r="I87" s="652" t="s">
        <v>638</v>
      </c>
      <c r="J87" s="652" t="s">
        <v>638</v>
      </c>
      <c r="K87" s="652" t="s">
        <v>638</v>
      </c>
      <c r="L87" s="579" t="s">
        <v>508</v>
      </c>
      <c r="M87" s="603" t="s">
        <v>760</v>
      </c>
      <c r="N87" s="602" t="s">
        <v>640</v>
      </c>
      <c r="O87" s="571" t="s">
        <v>651</v>
      </c>
      <c r="P87" s="572">
        <v>10000</v>
      </c>
    </row>
    <row r="88" spans="1:16" ht="15.75" hidden="1" customHeight="1" thickBot="1" x14ac:dyDescent="0.3">
      <c r="A88" s="674"/>
      <c r="B88" s="675"/>
      <c r="C88" s="592"/>
      <c r="D88" s="594"/>
      <c r="E88" s="645"/>
      <c r="F88" s="648"/>
      <c r="G88" s="638"/>
      <c r="H88" s="625"/>
      <c r="I88" s="625"/>
      <c r="J88" s="625"/>
      <c r="K88" s="625"/>
      <c r="L88" s="654"/>
      <c r="M88" s="603"/>
      <c r="N88" s="602"/>
      <c r="O88" s="571"/>
      <c r="P88" s="572"/>
    </row>
    <row r="89" spans="1:16" ht="15.75" hidden="1" customHeight="1" thickBot="1" x14ac:dyDescent="0.3">
      <c r="A89" s="674"/>
      <c r="B89" s="675"/>
      <c r="C89" s="606" t="s">
        <v>694</v>
      </c>
      <c r="D89" s="607"/>
      <c r="E89" s="645"/>
      <c r="F89" s="648"/>
      <c r="G89" s="638"/>
      <c r="H89" s="625"/>
      <c r="I89" s="625"/>
      <c r="J89" s="625"/>
      <c r="K89" s="625"/>
      <c r="L89" s="654"/>
      <c r="M89" s="603"/>
      <c r="N89" s="602"/>
      <c r="O89" s="571"/>
      <c r="P89" s="572"/>
    </row>
    <row r="90" spans="1:16" ht="24" hidden="1" customHeight="1" thickBot="1" x14ac:dyDescent="0.3">
      <c r="A90" s="674"/>
      <c r="B90" s="675"/>
      <c r="C90" s="440"/>
      <c r="D90" s="355"/>
      <c r="E90" s="646"/>
      <c r="F90" s="649"/>
      <c r="G90" s="651"/>
      <c r="H90" s="653"/>
      <c r="I90" s="653"/>
      <c r="J90" s="653"/>
      <c r="K90" s="653"/>
      <c r="L90" s="580"/>
      <c r="M90" s="348" t="s">
        <v>761</v>
      </c>
      <c r="N90" s="441" t="s">
        <v>640</v>
      </c>
      <c r="O90" s="442" t="s">
        <v>651</v>
      </c>
      <c r="P90" s="349">
        <v>5500</v>
      </c>
    </row>
    <row r="91" spans="1:16" ht="57" hidden="1" customHeight="1" thickBot="1" x14ac:dyDescent="0.3">
      <c r="A91" s="674"/>
      <c r="B91" s="675"/>
      <c r="C91" s="592"/>
      <c r="D91" s="593"/>
      <c r="E91" s="659" t="s">
        <v>762</v>
      </c>
      <c r="F91" s="661"/>
      <c r="G91" s="642"/>
      <c r="H91" s="652" t="s">
        <v>638</v>
      </c>
      <c r="I91" s="652" t="s">
        <v>638</v>
      </c>
      <c r="J91" s="652" t="s">
        <v>638</v>
      </c>
      <c r="K91" s="652" t="s">
        <v>638</v>
      </c>
      <c r="L91" s="579" t="s">
        <v>508</v>
      </c>
      <c r="M91" s="347" t="s">
        <v>763</v>
      </c>
      <c r="N91" s="348" t="s">
        <v>640</v>
      </c>
      <c r="O91" s="347" t="s">
        <v>651</v>
      </c>
      <c r="P91" s="349">
        <v>15000</v>
      </c>
    </row>
    <row r="92" spans="1:16" ht="29.25" hidden="1" thickBot="1" x14ac:dyDescent="0.3">
      <c r="A92" s="674"/>
      <c r="B92" s="675"/>
      <c r="C92" s="353"/>
      <c r="E92" s="660"/>
      <c r="F92" s="662"/>
      <c r="G92" s="643"/>
      <c r="H92" s="653"/>
      <c r="I92" s="653"/>
      <c r="J92" s="653"/>
      <c r="K92" s="653"/>
      <c r="L92" s="580"/>
      <c r="M92" s="347" t="s">
        <v>761</v>
      </c>
      <c r="N92" s="348" t="s">
        <v>640</v>
      </c>
      <c r="O92" s="347" t="s">
        <v>651</v>
      </c>
      <c r="P92" s="349">
        <v>5000</v>
      </c>
    </row>
    <row r="93" spans="1:16" ht="43.5" thickBot="1" x14ac:dyDescent="0.3">
      <c r="A93" s="674"/>
      <c r="B93" s="675"/>
      <c r="C93" s="373"/>
      <c r="D93" s="412"/>
      <c r="E93" s="379"/>
      <c r="F93" s="346"/>
      <c r="G93" s="346"/>
      <c r="H93" s="443"/>
      <c r="I93" s="443"/>
      <c r="J93" s="443"/>
      <c r="K93" s="443"/>
      <c r="L93" s="346" t="s">
        <v>509</v>
      </c>
      <c r="M93" s="359" t="s">
        <v>754</v>
      </c>
      <c r="N93" s="359" t="s">
        <v>640</v>
      </c>
      <c r="O93" s="346"/>
      <c r="P93" s="360">
        <v>1500</v>
      </c>
    </row>
    <row r="94" spans="1:16" ht="117.75" hidden="1" customHeight="1" thickBot="1" x14ac:dyDescent="0.3">
      <c r="A94" s="674"/>
      <c r="B94" s="675"/>
      <c r="C94" s="640" t="s">
        <v>764</v>
      </c>
      <c r="D94" s="641"/>
      <c r="E94" s="595" t="s">
        <v>765</v>
      </c>
      <c r="F94" s="582"/>
      <c r="G94" s="582"/>
      <c r="H94" s="617" t="s">
        <v>638</v>
      </c>
      <c r="I94" s="617" t="s">
        <v>638</v>
      </c>
      <c r="J94" s="617" t="s">
        <v>638</v>
      </c>
      <c r="K94" s="617" t="s">
        <v>638</v>
      </c>
      <c r="L94" s="578" t="s">
        <v>508</v>
      </c>
      <c r="M94" s="603" t="s">
        <v>760</v>
      </c>
      <c r="N94" s="602" t="s">
        <v>640</v>
      </c>
      <c r="O94" s="571" t="s">
        <v>651</v>
      </c>
      <c r="P94" s="572">
        <v>10000</v>
      </c>
    </row>
    <row r="95" spans="1:16" ht="15.75" hidden="1" thickBot="1" x14ac:dyDescent="0.3">
      <c r="A95" s="674"/>
      <c r="B95" s="675"/>
      <c r="C95" s="611"/>
      <c r="D95" s="612"/>
      <c r="E95" s="616"/>
      <c r="F95" s="582"/>
      <c r="G95" s="582"/>
      <c r="H95" s="617"/>
      <c r="I95" s="617"/>
      <c r="J95" s="617"/>
      <c r="K95" s="617"/>
      <c r="L95" s="578"/>
      <c r="M95" s="603"/>
      <c r="N95" s="602"/>
      <c r="O95" s="571"/>
      <c r="P95" s="572"/>
    </row>
    <row r="96" spans="1:16" ht="15.75" hidden="1" thickBot="1" x14ac:dyDescent="0.3">
      <c r="A96" s="674"/>
      <c r="B96" s="675"/>
      <c r="C96" s="609" t="s">
        <v>694</v>
      </c>
      <c r="D96" s="610"/>
      <c r="E96" s="597"/>
      <c r="F96" s="582"/>
      <c r="G96" s="582"/>
      <c r="H96" s="617"/>
      <c r="I96" s="617"/>
      <c r="J96" s="617"/>
      <c r="K96" s="617"/>
      <c r="L96" s="578"/>
      <c r="M96" s="603"/>
      <c r="N96" s="602"/>
      <c r="O96" s="571"/>
      <c r="P96" s="572"/>
    </row>
    <row r="97" spans="1:16" ht="29.25" hidden="1" thickBot="1" x14ac:dyDescent="0.3">
      <c r="A97" s="674"/>
      <c r="B97" s="675"/>
      <c r="C97" s="611"/>
      <c r="D97" s="612"/>
      <c r="E97" s="375" t="s">
        <v>766</v>
      </c>
      <c r="F97" s="346"/>
      <c r="G97" s="346"/>
      <c r="H97" s="444" t="s">
        <v>638</v>
      </c>
      <c r="I97" s="444" t="s">
        <v>638</v>
      </c>
      <c r="J97" s="444" t="s">
        <v>638</v>
      </c>
      <c r="K97" s="444" t="s">
        <v>638</v>
      </c>
      <c r="L97" s="347" t="s">
        <v>508</v>
      </c>
      <c r="M97" s="347" t="s">
        <v>760</v>
      </c>
      <c r="N97" s="348" t="s">
        <v>640</v>
      </c>
      <c r="O97" s="347" t="s">
        <v>651</v>
      </c>
      <c r="P97" s="349">
        <v>7000</v>
      </c>
    </row>
    <row r="98" spans="1:16" ht="43.5" thickBot="1" x14ac:dyDescent="0.3">
      <c r="A98" s="674"/>
      <c r="B98" s="675"/>
      <c r="C98" s="373"/>
      <c r="D98" s="374"/>
      <c r="E98" s="379"/>
      <c r="F98" s="358"/>
      <c r="G98" s="358"/>
      <c r="H98" s="445"/>
      <c r="I98" s="445"/>
      <c r="J98" s="445"/>
      <c r="K98" s="445"/>
      <c r="L98" s="358" t="s">
        <v>509</v>
      </c>
      <c r="M98" s="359" t="s">
        <v>754</v>
      </c>
      <c r="N98" s="359" t="s">
        <v>640</v>
      </c>
      <c r="O98" s="346"/>
      <c r="P98" s="360">
        <v>2000</v>
      </c>
    </row>
    <row r="99" spans="1:16" ht="198.75" hidden="1" customHeight="1" thickBot="1" x14ac:dyDescent="0.3">
      <c r="A99" s="674"/>
      <c r="B99" s="675"/>
      <c r="C99" s="615" t="s">
        <v>767</v>
      </c>
      <c r="D99" s="599"/>
      <c r="E99" s="599" t="s">
        <v>768</v>
      </c>
      <c r="F99" s="634"/>
      <c r="G99" s="637"/>
      <c r="H99" s="624" t="s">
        <v>638</v>
      </c>
      <c r="I99" s="624" t="s">
        <v>638</v>
      </c>
      <c r="J99" s="624" t="s">
        <v>638</v>
      </c>
      <c r="K99" s="627" t="s">
        <v>638</v>
      </c>
      <c r="L99" s="630" t="s">
        <v>508</v>
      </c>
      <c r="M99" s="633" t="s">
        <v>655</v>
      </c>
      <c r="N99" s="602" t="s">
        <v>640</v>
      </c>
      <c r="O99" s="571" t="s">
        <v>656</v>
      </c>
      <c r="P99" s="572">
        <v>4500</v>
      </c>
    </row>
    <row r="100" spans="1:16" ht="15.75" hidden="1" customHeight="1" thickBot="1" x14ac:dyDescent="0.3">
      <c r="A100" s="674"/>
      <c r="B100" s="675"/>
      <c r="C100" s="592"/>
      <c r="D100" s="594"/>
      <c r="E100" s="601"/>
      <c r="F100" s="635"/>
      <c r="G100" s="638"/>
      <c r="H100" s="625"/>
      <c r="I100" s="625"/>
      <c r="J100" s="625"/>
      <c r="K100" s="628"/>
      <c r="L100" s="631"/>
      <c r="M100" s="633"/>
      <c r="N100" s="602"/>
      <c r="O100" s="571"/>
      <c r="P100" s="572"/>
    </row>
    <row r="101" spans="1:16" ht="15.75" hidden="1" customHeight="1" thickBot="1" x14ac:dyDescent="0.3">
      <c r="A101" s="674"/>
      <c r="B101" s="675"/>
      <c r="C101" s="606" t="s">
        <v>694</v>
      </c>
      <c r="D101" s="607"/>
      <c r="E101" s="601"/>
      <c r="F101" s="636"/>
      <c r="G101" s="639"/>
      <c r="H101" s="626"/>
      <c r="I101" s="626"/>
      <c r="J101" s="626"/>
      <c r="K101" s="629"/>
      <c r="L101" s="632"/>
      <c r="M101" s="633"/>
      <c r="N101" s="602"/>
      <c r="O101" s="571"/>
      <c r="P101" s="572"/>
    </row>
    <row r="102" spans="1:16" ht="29.25" thickBot="1" x14ac:dyDescent="0.3">
      <c r="A102" s="674"/>
      <c r="B102" s="675"/>
      <c r="C102" s="440"/>
      <c r="D102" s="356"/>
      <c r="E102" s="357"/>
      <c r="F102" s="424"/>
      <c r="G102" s="424"/>
      <c r="H102" s="443"/>
      <c r="I102" s="443"/>
      <c r="J102" s="443"/>
      <c r="K102" s="443"/>
      <c r="L102" s="346" t="s">
        <v>509</v>
      </c>
      <c r="M102" s="359" t="s">
        <v>769</v>
      </c>
      <c r="N102" s="446" t="s">
        <v>640</v>
      </c>
      <c r="O102" s="424"/>
      <c r="P102" s="360">
        <v>1500</v>
      </c>
    </row>
    <row r="103" spans="1:16" ht="43.5" hidden="1" thickBot="1" x14ac:dyDescent="0.3">
      <c r="A103" s="674"/>
      <c r="B103" s="675"/>
      <c r="C103" s="618"/>
      <c r="D103" s="619"/>
      <c r="E103" s="351" t="s">
        <v>770</v>
      </c>
      <c r="F103" s="346"/>
      <c r="G103" s="346"/>
      <c r="H103" s="444" t="s">
        <v>638</v>
      </c>
      <c r="I103" s="444" t="s">
        <v>638</v>
      </c>
      <c r="J103" s="444" t="s">
        <v>638</v>
      </c>
      <c r="K103" s="444" t="s">
        <v>638</v>
      </c>
      <c r="L103" s="347" t="s">
        <v>508</v>
      </c>
      <c r="M103" s="347" t="s">
        <v>771</v>
      </c>
      <c r="N103" s="348" t="s">
        <v>640</v>
      </c>
      <c r="O103" s="347" t="s">
        <v>651</v>
      </c>
      <c r="P103" s="349">
        <v>4500</v>
      </c>
    </row>
    <row r="104" spans="1:16" ht="92.25" hidden="1" customHeight="1" thickBot="1" x14ac:dyDescent="0.3">
      <c r="A104" s="674"/>
      <c r="B104" s="675"/>
      <c r="C104" s="620" t="s">
        <v>772</v>
      </c>
      <c r="D104" s="621"/>
      <c r="E104" s="622" t="s">
        <v>773</v>
      </c>
      <c r="F104" s="589"/>
      <c r="G104" s="582"/>
      <c r="H104" s="617" t="s">
        <v>638</v>
      </c>
      <c r="I104" s="617" t="s">
        <v>638</v>
      </c>
      <c r="J104" s="617" t="s">
        <v>638</v>
      </c>
      <c r="K104" s="617" t="s">
        <v>638</v>
      </c>
      <c r="L104" s="578" t="s">
        <v>508</v>
      </c>
      <c r="M104" s="603" t="s">
        <v>774</v>
      </c>
      <c r="N104" s="602" t="s">
        <v>640</v>
      </c>
      <c r="O104" s="571" t="s">
        <v>651</v>
      </c>
      <c r="P104" s="572">
        <v>42000</v>
      </c>
    </row>
    <row r="105" spans="1:16" ht="15.75" hidden="1" thickBot="1" x14ac:dyDescent="0.3">
      <c r="A105" s="674"/>
      <c r="B105" s="675"/>
      <c r="C105" s="611"/>
      <c r="D105" s="559"/>
      <c r="E105" s="623"/>
      <c r="F105" s="589"/>
      <c r="G105" s="582"/>
      <c r="H105" s="617"/>
      <c r="I105" s="617"/>
      <c r="J105" s="617"/>
      <c r="K105" s="617"/>
      <c r="L105" s="578"/>
      <c r="M105" s="603"/>
      <c r="N105" s="602"/>
      <c r="O105" s="571"/>
      <c r="P105" s="572"/>
    </row>
    <row r="106" spans="1:16" ht="29.25" thickBot="1" x14ac:dyDescent="0.3">
      <c r="A106" s="674"/>
      <c r="B106" s="675"/>
      <c r="C106" s="353"/>
      <c r="E106" s="379"/>
      <c r="F106" s="424"/>
      <c r="G106" s="424"/>
      <c r="H106" s="443"/>
      <c r="I106" s="443"/>
      <c r="J106" s="443"/>
      <c r="K106" s="443"/>
      <c r="L106" s="346" t="s">
        <v>509</v>
      </c>
      <c r="M106" s="359" t="s">
        <v>769</v>
      </c>
      <c r="N106" s="447" t="s">
        <v>640</v>
      </c>
      <c r="O106" s="424"/>
      <c r="P106" s="360">
        <v>3000</v>
      </c>
    </row>
    <row r="107" spans="1:16" ht="29.25" hidden="1" thickBot="1" x14ac:dyDescent="0.3">
      <c r="A107" s="674"/>
      <c r="B107" s="675"/>
      <c r="C107" s="609" t="s">
        <v>694</v>
      </c>
      <c r="D107" s="610"/>
      <c r="E107" s="343" t="s">
        <v>775</v>
      </c>
      <c r="F107" s="346"/>
      <c r="G107" s="346"/>
      <c r="H107" s="439"/>
      <c r="I107" s="344" t="s">
        <v>638</v>
      </c>
      <c r="J107" s="344" t="s">
        <v>638</v>
      </c>
      <c r="K107" s="344" t="s">
        <v>638</v>
      </c>
      <c r="L107" s="347" t="s">
        <v>508</v>
      </c>
      <c r="M107" s="347" t="s">
        <v>774</v>
      </c>
      <c r="N107" s="348" t="s">
        <v>640</v>
      </c>
      <c r="O107" s="347" t="s">
        <v>651</v>
      </c>
      <c r="P107" s="349">
        <v>12000</v>
      </c>
    </row>
    <row r="108" spans="1:16" ht="54.75" hidden="1" thickBot="1" x14ac:dyDescent="0.3">
      <c r="A108" s="674"/>
      <c r="B108" s="675"/>
      <c r="C108" s="611"/>
      <c r="D108" s="612"/>
      <c r="E108" s="343" t="s">
        <v>776</v>
      </c>
      <c r="F108" s="346"/>
      <c r="G108" s="346"/>
      <c r="H108" s="346"/>
      <c r="I108" s="344" t="s">
        <v>638</v>
      </c>
      <c r="J108" s="344" t="s">
        <v>638</v>
      </c>
      <c r="K108" s="344" t="s">
        <v>638</v>
      </c>
      <c r="L108" s="347" t="s">
        <v>508</v>
      </c>
      <c r="M108" s="347" t="s">
        <v>774</v>
      </c>
      <c r="N108" s="348" t="s">
        <v>640</v>
      </c>
      <c r="O108" s="347" t="s">
        <v>651</v>
      </c>
      <c r="P108" s="349">
        <v>7000</v>
      </c>
    </row>
    <row r="109" spans="1:16" ht="81" hidden="1" customHeight="1" thickBot="1" x14ac:dyDescent="0.3">
      <c r="A109" s="613" t="s">
        <v>596</v>
      </c>
      <c r="B109" s="614"/>
      <c r="C109" s="615" t="s">
        <v>777</v>
      </c>
      <c r="D109" s="599"/>
      <c r="E109" s="616" t="s">
        <v>778</v>
      </c>
      <c r="F109" s="582"/>
      <c r="G109" s="617" t="s">
        <v>638</v>
      </c>
      <c r="H109" s="608" t="s">
        <v>638</v>
      </c>
      <c r="I109" s="582"/>
      <c r="J109" s="582"/>
      <c r="K109" s="582"/>
      <c r="L109" s="578" t="s">
        <v>508</v>
      </c>
      <c r="M109" s="603" t="s">
        <v>779</v>
      </c>
      <c r="N109" s="602" t="s">
        <v>640</v>
      </c>
      <c r="O109" s="571" t="s">
        <v>656</v>
      </c>
      <c r="P109" s="572">
        <v>5000</v>
      </c>
    </row>
    <row r="110" spans="1:16" ht="63.75" hidden="1" customHeight="1" thickBot="1" x14ac:dyDescent="0.3">
      <c r="A110" s="604" t="s">
        <v>540</v>
      </c>
      <c r="B110" s="605"/>
      <c r="C110" s="592"/>
      <c r="D110" s="594"/>
      <c r="E110" s="616"/>
      <c r="F110" s="582"/>
      <c r="G110" s="617"/>
      <c r="H110" s="608"/>
      <c r="I110" s="582"/>
      <c r="J110" s="582"/>
      <c r="K110" s="582"/>
      <c r="L110" s="578"/>
      <c r="M110" s="603"/>
      <c r="N110" s="602"/>
      <c r="O110" s="571"/>
      <c r="P110" s="572"/>
    </row>
    <row r="111" spans="1:16" ht="15.75" hidden="1" thickBot="1" x14ac:dyDescent="0.3">
      <c r="A111" s="592"/>
      <c r="B111" s="593"/>
      <c r="C111" s="606" t="s">
        <v>694</v>
      </c>
      <c r="D111" s="607"/>
      <c r="E111" s="597"/>
      <c r="F111" s="582"/>
      <c r="G111" s="617"/>
      <c r="H111" s="608"/>
      <c r="I111" s="582"/>
      <c r="J111" s="582"/>
      <c r="K111" s="582"/>
      <c r="L111" s="578"/>
      <c r="M111" s="603"/>
      <c r="N111" s="602"/>
      <c r="O111" s="571"/>
      <c r="P111" s="572"/>
    </row>
    <row r="112" spans="1:16" ht="86.25" hidden="1" thickBot="1" x14ac:dyDescent="0.3">
      <c r="A112" s="592"/>
      <c r="B112" s="593"/>
      <c r="C112" s="592"/>
      <c r="D112" s="594"/>
      <c r="E112" s="352" t="s">
        <v>780</v>
      </c>
      <c r="F112" s="346"/>
      <c r="G112" s="346"/>
      <c r="H112" s="346"/>
      <c r="I112" s="444" t="s">
        <v>638</v>
      </c>
      <c r="J112" s="346"/>
      <c r="K112" s="346"/>
      <c r="L112" s="347" t="s">
        <v>508</v>
      </c>
      <c r="M112" s="347" t="s">
        <v>781</v>
      </c>
      <c r="N112" s="348" t="s">
        <v>640</v>
      </c>
      <c r="O112" s="347" t="s">
        <v>651</v>
      </c>
      <c r="P112" s="349">
        <v>47000</v>
      </c>
    </row>
    <row r="113" spans="1:19" ht="57.75" thickBot="1" x14ac:dyDescent="0.3">
      <c r="A113" s="353"/>
      <c r="C113" s="373"/>
      <c r="D113" s="374"/>
      <c r="E113" s="357"/>
      <c r="F113" s="346"/>
      <c r="G113" s="346"/>
      <c r="H113" s="346"/>
      <c r="I113" s="443"/>
      <c r="J113" s="346"/>
      <c r="K113" s="346"/>
      <c r="L113" s="346" t="s">
        <v>509</v>
      </c>
      <c r="M113" s="359" t="s">
        <v>782</v>
      </c>
      <c r="N113" s="359" t="s">
        <v>640</v>
      </c>
      <c r="O113" s="346"/>
      <c r="P113" s="360">
        <v>3000</v>
      </c>
    </row>
    <row r="114" spans="1:19" ht="80.25" hidden="1" customHeight="1" thickBot="1" x14ac:dyDescent="0.3">
      <c r="A114" s="592"/>
      <c r="B114" s="594"/>
      <c r="C114" s="595" t="s">
        <v>783</v>
      </c>
      <c r="D114" s="596"/>
      <c r="E114" s="343" t="s">
        <v>784</v>
      </c>
      <c r="F114" s="346"/>
      <c r="G114" s="346"/>
      <c r="H114" s="346"/>
      <c r="I114" s="344" t="s">
        <v>638</v>
      </c>
      <c r="J114" s="344" t="s">
        <v>638</v>
      </c>
      <c r="K114" s="344" t="s">
        <v>638</v>
      </c>
      <c r="L114" s="347" t="s">
        <v>508</v>
      </c>
      <c r="M114" s="347" t="s">
        <v>785</v>
      </c>
      <c r="N114" s="348" t="s">
        <v>640</v>
      </c>
      <c r="O114" s="347" t="s">
        <v>651</v>
      </c>
      <c r="P114" s="349">
        <v>40000</v>
      </c>
    </row>
    <row r="115" spans="1:19" ht="57.75" hidden="1" thickBot="1" x14ac:dyDescent="0.3">
      <c r="A115" s="592"/>
      <c r="B115" s="594"/>
      <c r="C115" s="597"/>
      <c r="D115" s="562"/>
      <c r="E115" s="343" t="s">
        <v>786</v>
      </c>
      <c r="F115" s="346"/>
      <c r="G115" s="346"/>
      <c r="H115" s="346"/>
      <c r="I115" s="344" t="s">
        <v>638</v>
      </c>
      <c r="J115" s="344" t="s">
        <v>638</v>
      </c>
      <c r="K115" s="344" t="s">
        <v>638</v>
      </c>
      <c r="L115" s="347" t="s">
        <v>508</v>
      </c>
      <c r="M115" s="347" t="s">
        <v>787</v>
      </c>
      <c r="N115" s="348" t="s">
        <v>640</v>
      </c>
      <c r="O115" s="347" t="s">
        <v>651</v>
      </c>
      <c r="P115" s="349">
        <v>150000</v>
      </c>
    </row>
    <row r="116" spans="1:19" ht="65.25" hidden="1" customHeight="1" thickBot="1" x14ac:dyDescent="0.3">
      <c r="A116" s="592"/>
      <c r="B116" s="594"/>
      <c r="C116" s="598" t="s">
        <v>788</v>
      </c>
      <c r="D116" s="599"/>
      <c r="E116" s="589"/>
      <c r="F116" s="582"/>
      <c r="G116" s="582"/>
      <c r="H116" s="582"/>
      <c r="I116" s="577" t="s">
        <v>638</v>
      </c>
      <c r="J116" s="577" t="s">
        <v>638</v>
      </c>
      <c r="K116" s="577" t="s">
        <v>638</v>
      </c>
      <c r="L116" s="578" t="s">
        <v>508</v>
      </c>
      <c r="M116" s="603" t="s">
        <v>785</v>
      </c>
      <c r="N116" s="602" t="s">
        <v>640</v>
      </c>
      <c r="O116" s="571" t="s">
        <v>651</v>
      </c>
      <c r="P116" s="572">
        <v>13869</v>
      </c>
    </row>
    <row r="117" spans="1:19" ht="15.75" hidden="1" thickBot="1" x14ac:dyDescent="0.3">
      <c r="A117" s="592"/>
      <c r="B117" s="594"/>
      <c r="C117" s="600"/>
      <c r="D117" s="601"/>
      <c r="E117" s="589"/>
      <c r="F117" s="582"/>
      <c r="G117" s="582"/>
      <c r="H117" s="582"/>
      <c r="I117" s="577"/>
      <c r="J117" s="577"/>
      <c r="K117" s="577"/>
      <c r="L117" s="578"/>
      <c r="M117" s="603"/>
      <c r="N117" s="602"/>
      <c r="O117" s="571"/>
      <c r="P117" s="572"/>
    </row>
    <row r="118" spans="1:19" ht="43.5" thickBot="1" x14ac:dyDescent="0.3">
      <c r="A118" s="373"/>
      <c r="B118" s="374"/>
      <c r="C118" s="378"/>
      <c r="D118" s="383"/>
      <c r="E118" s="448"/>
      <c r="F118" s="449"/>
      <c r="G118" s="449"/>
      <c r="H118" s="449"/>
      <c r="I118" s="450"/>
      <c r="J118" s="450"/>
      <c r="K118" s="450"/>
      <c r="L118" s="358" t="s">
        <v>509</v>
      </c>
      <c r="M118" s="451" t="s">
        <v>754</v>
      </c>
      <c r="N118" s="452"/>
      <c r="O118" s="453"/>
      <c r="P118" s="360">
        <v>2000</v>
      </c>
    </row>
    <row r="119" spans="1:19" ht="17.25" hidden="1" customHeight="1" thickBot="1" x14ac:dyDescent="0.3">
      <c r="A119" s="590" t="s">
        <v>789</v>
      </c>
      <c r="B119" s="590"/>
      <c r="C119" s="590"/>
      <c r="D119" s="590"/>
      <c r="E119" s="590"/>
      <c r="F119" s="590"/>
      <c r="G119" s="590"/>
      <c r="H119" s="590"/>
      <c r="I119" s="590"/>
      <c r="J119" s="590"/>
      <c r="K119" s="590"/>
      <c r="L119" s="590"/>
      <c r="M119" s="590"/>
      <c r="N119" s="590"/>
      <c r="O119" s="591"/>
      <c r="P119" s="454">
        <f>SUM(P77,P42,P3)</f>
        <v>1041869</v>
      </c>
    </row>
    <row r="120" spans="1:19" ht="15.75" hidden="1" customHeight="1" thickBot="1" x14ac:dyDescent="0.3">
      <c r="A120" s="455"/>
      <c r="B120" s="456"/>
      <c r="C120" s="456"/>
      <c r="D120" s="456"/>
      <c r="E120" s="456"/>
      <c r="F120" s="456"/>
      <c r="G120" s="456"/>
      <c r="H120" s="456"/>
      <c r="I120" s="456"/>
      <c r="J120" s="456"/>
      <c r="K120" s="456"/>
      <c r="L120" s="456"/>
      <c r="M120" s="456"/>
      <c r="N120" s="456"/>
      <c r="O120" s="457" t="s">
        <v>508</v>
      </c>
      <c r="P120" s="339">
        <f>SUM(P78,P43,P4)</f>
        <v>846869</v>
      </c>
      <c r="R120" s="335"/>
    </row>
    <row r="121" spans="1:19" ht="15.75" hidden="1" customHeight="1" thickBot="1" x14ac:dyDescent="0.3">
      <c r="A121" s="458"/>
      <c r="B121" s="459"/>
      <c r="C121" s="459"/>
      <c r="D121" s="459"/>
      <c r="E121" s="459"/>
      <c r="F121" s="459"/>
      <c r="G121" s="459"/>
      <c r="H121" s="459"/>
      <c r="I121" s="459"/>
      <c r="J121" s="459"/>
      <c r="K121" s="459"/>
      <c r="L121" s="459"/>
      <c r="M121" s="459"/>
      <c r="N121" s="459"/>
      <c r="O121" s="460" t="s">
        <v>509</v>
      </c>
      <c r="P121" s="461">
        <f>SUM(P79,P44,P5)</f>
        <v>195000</v>
      </c>
      <c r="R121" s="335"/>
    </row>
    <row r="122" spans="1:19" ht="81.75" hidden="1" customHeight="1" thickBot="1" x14ac:dyDescent="0.3">
      <c r="A122" s="585" t="s">
        <v>790</v>
      </c>
      <c r="B122" s="586"/>
      <c r="C122" s="587" t="s">
        <v>791</v>
      </c>
      <c r="D122" s="587"/>
      <c r="E122" s="588" t="s">
        <v>792</v>
      </c>
      <c r="F122" s="576"/>
      <c r="G122" s="576"/>
      <c r="H122" s="576"/>
      <c r="I122" s="576"/>
      <c r="J122" s="576"/>
      <c r="K122" s="576"/>
      <c r="L122" s="347" t="s">
        <v>508</v>
      </c>
      <c r="M122" s="347"/>
      <c r="N122" s="348" t="s">
        <v>640</v>
      </c>
      <c r="O122" s="347">
        <v>61100</v>
      </c>
      <c r="P122" s="349">
        <v>30000</v>
      </c>
    </row>
    <row r="123" spans="1:19" ht="29.25" thickBot="1" x14ac:dyDescent="0.3">
      <c r="A123" s="462"/>
      <c r="B123" s="463"/>
      <c r="C123" s="464"/>
      <c r="D123" s="465"/>
      <c r="E123" s="584"/>
      <c r="F123" s="582"/>
      <c r="G123" s="582"/>
      <c r="H123" s="582"/>
      <c r="I123" s="582"/>
      <c r="J123" s="582"/>
      <c r="K123" s="582"/>
      <c r="L123" s="346" t="s">
        <v>555</v>
      </c>
      <c r="M123" s="346"/>
      <c r="N123" s="359" t="s">
        <v>640</v>
      </c>
      <c r="O123" s="346"/>
      <c r="P123" s="360">
        <v>45000</v>
      </c>
    </row>
    <row r="124" spans="1:19" ht="68.25" hidden="1" customHeight="1" thickBot="1" x14ac:dyDescent="0.3">
      <c r="A124" s="559"/>
      <c r="B124" s="560"/>
      <c r="C124" s="575" t="s">
        <v>793</v>
      </c>
      <c r="D124" s="575"/>
      <c r="E124" s="584" t="s">
        <v>794</v>
      </c>
      <c r="F124" s="582"/>
      <c r="G124" s="582"/>
      <c r="H124" s="582"/>
      <c r="I124" s="582"/>
      <c r="J124" s="582"/>
      <c r="K124" s="582"/>
      <c r="L124" s="347" t="s">
        <v>508</v>
      </c>
      <c r="M124" s="347"/>
      <c r="N124" s="348" t="s">
        <v>640</v>
      </c>
      <c r="O124" s="347" t="s">
        <v>795</v>
      </c>
      <c r="P124" s="349">
        <v>184626.17</v>
      </c>
      <c r="S124" s="335"/>
    </row>
    <row r="125" spans="1:19" ht="29.25" thickBot="1" x14ac:dyDescent="0.3">
      <c r="A125" s="573" t="s">
        <v>796</v>
      </c>
      <c r="B125" s="574"/>
      <c r="C125" s="583"/>
      <c r="D125" s="583"/>
      <c r="E125" s="584"/>
      <c r="F125" s="582"/>
      <c r="G125" s="582"/>
      <c r="H125" s="582"/>
      <c r="I125" s="582"/>
      <c r="J125" s="582"/>
      <c r="K125" s="582"/>
      <c r="L125" s="346" t="s">
        <v>555</v>
      </c>
      <c r="M125" s="346"/>
      <c r="N125" s="359" t="s">
        <v>640</v>
      </c>
      <c r="O125" s="346"/>
      <c r="P125" s="360">
        <v>25373.83</v>
      </c>
    </row>
    <row r="126" spans="1:19" ht="114.75" hidden="1" customHeight="1" thickBot="1" x14ac:dyDescent="0.3">
      <c r="A126" s="573" t="s">
        <v>797</v>
      </c>
      <c r="B126" s="574"/>
      <c r="C126" s="576"/>
      <c r="D126" s="576"/>
      <c r="E126" s="466"/>
      <c r="F126" s="346"/>
      <c r="G126" s="346"/>
      <c r="H126" s="346"/>
      <c r="I126" s="346"/>
      <c r="J126" s="346"/>
      <c r="K126" s="346"/>
      <c r="L126" s="346"/>
      <c r="M126" s="346"/>
      <c r="N126" s="359"/>
      <c r="O126" s="346"/>
      <c r="P126" s="467"/>
    </row>
    <row r="127" spans="1:19" ht="25.5" hidden="1" customHeight="1" thickBot="1" x14ac:dyDescent="0.3">
      <c r="A127" s="573" t="s">
        <v>798</v>
      </c>
      <c r="B127" s="574"/>
      <c r="C127" s="562" t="s">
        <v>799</v>
      </c>
      <c r="D127" s="562"/>
      <c r="E127" s="561" t="s">
        <v>800</v>
      </c>
      <c r="F127" s="577" t="s">
        <v>638</v>
      </c>
      <c r="G127" s="577" t="s">
        <v>638</v>
      </c>
      <c r="H127" s="577" t="s">
        <v>638</v>
      </c>
      <c r="I127" s="577" t="s">
        <v>638</v>
      </c>
      <c r="J127" s="577" t="s">
        <v>638</v>
      </c>
      <c r="K127" s="577" t="s">
        <v>638</v>
      </c>
      <c r="L127" s="578" t="s">
        <v>508</v>
      </c>
      <c r="M127" s="579"/>
      <c r="N127" s="581" t="s">
        <v>640</v>
      </c>
      <c r="O127" s="571" t="s">
        <v>795</v>
      </c>
      <c r="P127" s="572">
        <v>5000</v>
      </c>
    </row>
    <row r="128" spans="1:19" ht="25.5" hidden="1" customHeight="1" thickBot="1" x14ac:dyDescent="0.3">
      <c r="A128" s="573" t="s">
        <v>801</v>
      </c>
      <c r="B128" s="574"/>
      <c r="C128" s="575" t="s">
        <v>802</v>
      </c>
      <c r="D128" s="575"/>
      <c r="E128" s="561"/>
      <c r="F128" s="577"/>
      <c r="G128" s="577"/>
      <c r="H128" s="577"/>
      <c r="I128" s="577"/>
      <c r="J128" s="577"/>
      <c r="K128" s="577"/>
      <c r="L128" s="578"/>
      <c r="M128" s="580"/>
      <c r="N128" s="581"/>
      <c r="O128" s="571"/>
      <c r="P128" s="572"/>
    </row>
    <row r="129" spans="1:17" ht="43.5" hidden="1" thickBot="1" x14ac:dyDescent="0.3">
      <c r="A129" s="559"/>
      <c r="B129" s="560"/>
      <c r="C129" s="576"/>
      <c r="D129" s="576"/>
      <c r="E129" s="343" t="s">
        <v>803</v>
      </c>
      <c r="F129" s="344" t="s">
        <v>638</v>
      </c>
      <c r="G129" s="346"/>
      <c r="H129" s="444" t="s">
        <v>638</v>
      </c>
      <c r="I129" s="346"/>
      <c r="J129" s="444" t="s">
        <v>638</v>
      </c>
      <c r="K129" s="346"/>
      <c r="L129" s="347" t="s">
        <v>508</v>
      </c>
      <c r="M129" s="347"/>
      <c r="N129" s="348" t="s">
        <v>640</v>
      </c>
      <c r="O129" s="347" t="s">
        <v>795</v>
      </c>
      <c r="P129" s="349">
        <v>20000</v>
      </c>
      <c r="Q129" s="468"/>
    </row>
    <row r="130" spans="1:17" ht="17.25" thickBot="1" x14ac:dyDescent="0.3">
      <c r="A130" s="426"/>
      <c r="B130" s="453"/>
      <c r="C130" s="469"/>
      <c r="D130" s="469"/>
      <c r="E130" s="343"/>
      <c r="F130" s="344" t="s">
        <v>638</v>
      </c>
      <c r="G130" s="346"/>
      <c r="H130" s="444" t="s">
        <v>638</v>
      </c>
      <c r="I130" s="346"/>
      <c r="J130" s="444" t="s">
        <v>638</v>
      </c>
      <c r="K130" s="346"/>
      <c r="L130" s="346" t="s">
        <v>509</v>
      </c>
      <c r="M130" s="346" t="s">
        <v>804</v>
      </c>
      <c r="N130" s="359" t="s">
        <v>640</v>
      </c>
      <c r="O130" s="346"/>
      <c r="P130" s="360">
        <v>15000</v>
      </c>
    </row>
    <row r="131" spans="1:17" ht="43.5" hidden="1" thickBot="1" x14ac:dyDescent="0.3">
      <c r="A131" s="559"/>
      <c r="B131" s="560"/>
      <c r="C131" s="561" t="s">
        <v>805</v>
      </c>
      <c r="D131" s="561"/>
      <c r="E131" s="343" t="s">
        <v>806</v>
      </c>
      <c r="F131" s="346"/>
      <c r="G131" s="346"/>
      <c r="H131" s="346"/>
      <c r="I131" s="346"/>
      <c r="J131" s="444" t="s">
        <v>638</v>
      </c>
      <c r="K131" s="346"/>
      <c r="L131" s="347" t="s">
        <v>508</v>
      </c>
      <c r="M131" s="347"/>
      <c r="N131" s="348" t="s">
        <v>640</v>
      </c>
      <c r="O131" s="347" t="s">
        <v>795</v>
      </c>
      <c r="P131" s="349">
        <v>30000</v>
      </c>
    </row>
    <row r="132" spans="1:17" ht="43.5" hidden="1" thickBot="1" x14ac:dyDescent="0.3">
      <c r="A132" s="563"/>
      <c r="B132" s="564"/>
      <c r="C132" s="562"/>
      <c r="D132" s="562"/>
      <c r="E132" s="351" t="s">
        <v>807</v>
      </c>
      <c r="F132" s="358"/>
      <c r="G132" s="358"/>
      <c r="H132" s="358"/>
      <c r="I132" s="358"/>
      <c r="J132" s="358"/>
      <c r="K132" s="470" t="s">
        <v>638</v>
      </c>
      <c r="L132" s="361" t="s">
        <v>508</v>
      </c>
      <c r="M132" s="361"/>
      <c r="N132" s="362" t="s">
        <v>640</v>
      </c>
      <c r="O132" s="361" t="s">
        <v>795</v>
      </c>
      <c r="P132" s="349">
        <v>5000</v>
      </c>
    </row>
    <row r="133" spans="1:17" ht="15.75" hidden="1" thickBot="1" x14ac:dyDescent="0.3">
      <c r="A133" s="565" t="s">
        <v>600</v>
      </c>
      <c r="B133" s="566"/>
      <c r="C133" s="567"/>
      <c r="D133" s="568"/>
      <c r="E133" s="471"/>
      <c r="F133" s="471"/>
      <c r="G133" s="471"/>
      <c r="H133" s="471"/>
      <c r="I133" s="471"/>
      <c r="J133" s="471"/>
      <c r="K133" s="471"/>
      <c r="L133" s="471"/>
      <c r="M133" s="471"/>
      <c r="N133" s="472"/>
      <c r="O133" s="473"/>
      <c r="P133" s="474">
        <f>SUM(P120:P132)</f>
        <v>1401869</v>
      </c>
    </row>
    <row r="134" spans="1:17" ht="15.75" hidden="1" customHeight="1" thickBot="1" x14ac:dyDescent="0.3">
      <c r="A134" s="569" t="s">
        <v>808</v>
      </c>
      <c r="B134" s="570"/>
      <c r="C134" s="567"/>
      <c r="D134" s="568"/>
      <c r="E134" s="471"/>
      <c r="F134" s="471"/>
      <c r="G134" s="471"/>
      <c r="H134" s="471"/>
      <c r="I134" s="471"/>
      <c r="J134" s="471"/>
      <c r="K134" s="471"/>
      <c r="L134" s="471"/>
      <c r="M134" s="471"/>
      <c r="N134" s="472"/>
      <c r="O134" s="473"/>
      <c r="P134" s="475">
        <f>SUM(P132,P131,P129,P127,P124,P122,P120)</f>
        <v>1121495.17</v>
      </c>
    </row>
    <row r="135" spans="1:17" ht="15.75" hidden="1" customHeight="1" thickBot="1" x14ac:dyDescent="0.3">
      <c r="A135" s="555" t="s">
        <v>809</v>
      </c>
      <c r="B135" s="556"/>
      <c r="C135" s="557"/>
      <c r="D135" s="558"/>
      <c r="E135" s="476"/>
      <c r="F135" s="476"/>
      <c r="G135" s="476"/>
      <c r="H135" s="476"/>
      <c r="I135" s="476"/>
      <c r="J135" s="476"/>
      <c r="K135" s="476"/>
      <c r="L135" s="476"/>
      <c r="M135" s="476"/>
      <c r="N135" s="477"/>
      <c r="O135" s="478"/>
      <c r="P135" s="479">
        <f>SUM(P130,P125,P123,P121)</f>
        <v>280373.83</v>
      </c>
    </row>
  </sheetData>
  <autoFilter ref="A1:P135" xr:uid="{00000000-0009-0000-0000-000002000000}">
    <filterColumn colId="0" showButton="0"/>
    <filterColumn colId="2" showButton="0"/>
    <filterColumn colId="3" showButton="0"/>
    <filterColumn colId="5" showButton="0"/>
    <filterColumn colId="6" showButton="0"/>
    <filterColumn colId="7" showButton="0"/>
    <filterColumn colId="8" showButton="0"/>
    <filterColumn colId="9" showButton="0"/>
    <filterColumn colId="11">
      <filters>
        <filter val="MSIS"/>
        <filter val="MSIS TATAO"/>
      </filters>
    </filterColumn>
    <filterColumn colId="13" showButton="0"/>
    <filterColumn colId="14" showButton="0"/>
  </autoFilter>
  <mergeCells count="461">
    <mergeCell ref="A1:B1"/>
    <mergeCell ref="C1:E1"/>
    <mergeCell ref="F1:K1"/>
    <mergeCell ref="N1:P1"/>
    <mergeCell ref="A2:B2"/>
    <mergeCell ref="C2:E2"/>
    <mergeCell ref="O6:O8"/>
    <mergeCell ref="P6:P8"/>
    <mergeCell ref="A7:B7"/>
    <mergeCell ref="C7:D7"/>
    <mergeCell ref="A8:B8"/>
    <mergeCell ref="C8:D8"/>
    <mergeCell ref="A3:O3"/>
    <mergeCell ref="A6:B6"/>
    <mergeCell ref="C6:D6"/>
    <mergeCell ref="E6:E8"/>
    <mergeCell ref="F6:F8"/>
    <mergeCell ref="G6:G8"/>
    <mergeCell ref="H6:H8"/>
    <mergeCell ref="I6:I8"/>
    <mergeCell ref="J6:J8"/>
    <mergeCell ref="K6:K8"/>
    <mergeCell ref="A9:B9"/>
    <mergeCell ref="C9:D9"/>
    <mergeCell ref="A10:B10"/>
    <mergeCell ref="C10:D10"/>
    <mergeCell ref="A11:B11"/>
    <mergeCell ref="C11:D11"/>
    <mergeCell ref="L6:L8"/>
    <mergeCell ref="M6:M8"/>
    <mergeCell ref="N6:N8"/>
    <mergeCell ref="G14:G15"/>
    <mergeCell ref="H14:H15"/>
    <mergeCell ref="I14:I15"/>
    <mergeCell ref="J14:J15"/>
    <mergeCell ref="K14:K15"/>
    <mergeCell ref="L14:L15"/>
    <mergeCell ref="A12:B12"/>
    <mergeCell ref="C12:D12"/>
    <mergeCell ref="A14:B14"/>
    <mergeCell ref="C14:D15"/>
    <mergeCell ref="E14:E15"/>
    <mergeCell ref="F14:F15"/>
    <mergeCell ref="A22:B22"/>
    <mergeCell ref="C22:D22"/>
    <mergeCell ref="A23:B23"/>
    <mergeCell ref="C23:D23"/>
    <mergeCell ref="A24:B24"/>
    <mergeCell ref="C24:D24"/>
    <mergeCell ref="J16:J17"/>
    <mergeCell ref="K16:K17"/>
    <mergeCell ref="L16:L17"/>
    <mergeCell ref="A18:B18"/>
    <mergeCell ref="C18:D18"/>
    <mergeCell ref="A20:B20"/>
    <mergeCell ref="C20:D20"/>
    <mergeCell ref="C16:D17"/>
    <mergeCell ref="E16:E17"/>
    <mergeCell ref="F16:F17"/>
    <mergeCell ref="G16:G17"/>
    <mergeCell ref="H16:H17"/>
    <mergeCell ref="I16:I17"/>
    <mergeCell ref="N24:N25"/>
    <mergeCell ref="O24:O25"/>
    <mergeCell ref="P24:P25"/>
    <mergeCell ref="E24:E25"/>
    <mergeCell ref="F24:F25"/>
    <mergeCell ref="G24:G25"/>
    <mergeCell ref="H24:H25"/>
    <mergeCell ref="I24:I25"/>
    <mergeCell ref="J24:J25"/>
    <mergeCell ref="A25:B25"/>
    <mergeCell ref="C25:D25"/>
    <mergeCell ref="A27:B27"/>
    <mergeCell ref="C27:D27"/>
    <mergeCell ref="A28:B28"/>
    <mergeCell ref="C28:D28"/>
    <mergeCell ref="K24:K25"/>
    <mergeCell ref="L24:L25"/>
    <mergeCell ref="M24:M25"/>
    <mergeCell ref="N28:N29"/>
    <mergeCell ref="O28:O29"/>
    <mergeCell ref="P28:P29"/>
    <mergeCell ref="E28:E29"/>
    <mergeCell ref="F28:F29"/>
    <mergeCell ref="G28:G29"/>
    <mergeCell ref="H28:H29"/>
    <mergeCell ref="I28:I29"/>
    <mergeCell ref="J28:J29"/>
    <mergeCell ref="A29:B29"/>
    <mergeCell ref="C29:D29"/>
    <mergeCell ref="A30:B30"/>
    <mergeCell ref="C30:D30"/>
    <mergeCell ref="A31:B31"/>
    <mergeCell ref="C31:D31"/>
    <mergeCell ref="K28:K29"/>
    <mergeCell ref="L28:L29"/>
    <mergeCell ref="M28:M29"/>
    <mergeCell ref="A35:B35"/>
    <mergeCell ref="C35:D35"/>
    <mergeCell ref="A37:B37"/>
    <mergeCell ref="C37:D37"/>
    <mergeCell ref="E37:E39"/>
    <mergeCell ref="F37:F39"/>
    <mergeCell ref="O32:O33"/>
    <mergeCell ref="P32:P33"/>
    <mergeCell ref="A33:B33"/>
    <mergeCell ref="C33:D33"/>
    <mergeCell ref="A34:B34"/>
    <mergeCell ref="C34:D34"/>
    <mergeCell ref="I32:I33"/>
    <mergeCell ref="J32:J33"/>
    <mergeCell ref="K32:K33"/>
    <mergeCell ref="L32:L33"/>
    <mergeCell ref="M32:M33"/>
    <mergeCell ref="N32:N33"/>
    <mergeCell ref="A32:B32"/>
    <mergeCell ref="C32:D32"/>
    <mergeCell ref="E32:E33"/>
    <mergeCell ref="F32:F33"/>
    <mergeCell ref="G32:G33"/>
    <mergeCell ref="H32:H33"/>
    <mergeCell ref="M37:M39"/>
    <mergeCell ref="N37:N39"/>
    <mergeCell ref="O37:O39"/>
    <mergeCell ref="P37:P39"/>
    <mergeCell ref="A38:B38"/>
    <mergeCell ref="C38:D38"/>
    <mergeCell ref="A39:B39"/>
    <mergeCell ref="C39:D39"/>
    <mergeCell ref="G37:G39"/>
    <mergeCell ref="H37:H39"/>
    <mergeCell ref="I37:I39"/>
    <mergeCell ref="J37:J39"/>
    <mergeCell ref="K37:K39"/>
    <mergeCell ref="L37:L39"/>
    <mergeCell ref="A40:B40"/>
    <mergeCell ref="C40:D40"/>
    <mergeCell ref="A42:O42"/>
    <mergeCell ref="A45:B45"/>
    <mergeCell ref="C45:D45"/>
    <mergeCell ref="E45:E46"/>
    <mergeCell ref="F45:F46"/>
    <mergeCell ref="G45:G46"/>
    <mergeCell ref="H45:H46"/>
    <mergeCell ref="I45:I46"/>
    <mergeCell ref="P45:P46"/>
    <mergeCell ref="A46:B46"/>
    <mergeCell ref="C46:D46"/>
    <mergeCell ref="A47:B47"/>
    <mergeCell ref="C47:D47"/>
    <mergeCell ref="A48:B48"/>
    <mergeCell ref="C48:D48"/>
    <mergeCell ref="J45:J46"/>
    <mergeCell ref="K45:K46"/>
    <mergeCell ref="L45:L46"/>
    <mergeCell ref="M45:M46"/>
    <mergeCell ref="N45:N46"/>
    <mergeCell ref="O45:O46"/>
    <mergeCell ref="O50:O51"/>
    <mergeCell ref="P50:P51"/>
    <mergeCell ref="A51:B51"/>
    <mergeCell ref="C51:D51"/>
    <mergeCell ref="A53:B53"/>
    <mergeCell ref="C53:D53"/>
    <mergeCell ref="I50:I51"/>
    <mergeCell ref="J50:J51"/>
    <mergeCell ref="K50:K51"/>
    <mergeCell ref="L50:L51"/>
    <mergeCell ref="M50:M51"/>
    <mergeCell ref="N50:N51"/>
    <mergeCell ref="A50:B50"/>
    <mergeCell ref="C50:D50"/>
    <mergeCell ref="E50:E51"/>
    <mergeCell ref="F50:F51"/>
    <mergeCell ref="G50:G51"/>
    <mergeCell ref="H50:H51"/>
    <mergeCell ref="L54:L55"/>
    <mergeCell ref="N54:N55"/>
    <mergeCell ref="A56:B56"/>
    <mergeCell ref="C56:D56"/>
    <mergeCell ref="A54:B54"/>
    <mergeCell ref="C54:D55"/>
    <mergeCell ref="E54:E55"/>
    <mergeCell ref="F54:F55"/>
    <mergeCell ref="G54:G55"/>
    <mergeCell ref="H54:H55"/>
    <mergeCell ref="A58:B58"/>
    <mergeCell ref="C58:D58"/>
    <mergeCell ref="A59:B59"/>
    <mergeCell ref="C59:D59"/>
    <mergeCell ref="A61:B61"/>
    <mergeCell ref="C61:D61"/>
    <mergeCell ref="I54:I55"/>
    <mergeCell ref="J54:J55"/>
    <mergeCell ref="K54:K55"/>
    <mergeCell ref="O62:O63"/>
    <mergeCell ref="P62:P63"/>
    <mergeCell ref="A63:B63"/>
    <mergeCell ref="C63:D63"/>
    <mergeCell ref="A64:B64"/>
    <mergeCell ref="C64:D64"/>
    <mergeCell ref="I62:I63"/>
    <mergeCell ref="J62:J63"/>
    <mergeCell ref="K62:K63"/>
    <mergeCell ref="L62:L63"/>
    <mergeCell ref="M62:M63"/>
    <mergeCell ref="N62:N63"/>
    <mergeCell ref="A62:B62"/>
    <mergeCell ref="C62:D62"/>
    <mergeCell ref="E62:E63"/>
    <mergeCell ref="F62:F63"/>
    <mergeCell ref="G62:G63"/>
    <mergeCell ref="H62:H63"/>
    <mergeCell ref="O65:O66"/>
    <mergeCell ref="P65:P66"/>
    <mergeCell ref="A66:B66"/>
    <mergeCell ref="C66:D66"/>
    <mergeCell ref="A67:B67"/>
    <mergeCell ref="C67:D67"/>
    <mergeCell ref="E67:E69"/>
    <mergeCell ref="F67:F69"/>
    <mergeCell ref="G67:G69"/>
    <mergeCell ref="H67:H69"/>
    <mergeCell ref="I65:I66"/>
    <mergeCell ref="J65:J66"/>
    <mergeCell ref="K65:K66"/>
    <mergeCell ref="L65:L66"/>
    <mergeCell ref="M65:M66"/>
    <mergeCell ref="N65:N66"/>
    <mergeCell ref="A65:B65"/>
    <mergeCell ref="C65:D65"/>
    <mergeCell ref="E65:E66"/>
    <mergeCell ref="F65:F66"/>
    <mergeCell ref="G65:G66"/>
    <mergeCell ref="H65:H66"/>
    <mergeCell ref="A70:B70"/>
    <mergeCell ref="C70:D70"/>
    <mergeCell ref="A71:B71"/>
    <mergeCell ref="C71:D71"/>
    <mergeCell ref="A72:B72"/>
    <mergeCell ref="C72:D72"/>
    <mergeCell ref="O67:O69"/>
    <mergeCell ref="P67:P69"/>
    <mergeCell ref="A68:B68"/>
    <mergeCell ref="C68:D68"/>
    <mergeCell ref="A69:B69"/>
    <mergeCell ref="C69:D69"/>
    <mergeCell ref="I67:I69"/>
    <mergeCell ref="J67:J69"/>
    <mergeCell ref="K67:K69"/>
    <mergeCell ref="L67:L69"/>
    <mergeCell ref="M67:M69"/>
    <mergeCell ref="N67:N69"/>
    <mergeCell ref="N72:N75"/>
    <mergeCell ref="O72:O75"/>
    <mergeCell ref="P72:P75"/>
    <mergeCell ref="E72:E75"/>
    <mergeCell ref="F72:F75"/>
    <mergeCell ref="G72:G75"/>
    <mergeCell ref="H72:H75"/>
    <mergeCell ref="I72:I75"/>
    <mergeCell ref="J72:J75"/>
    <mergeCell ref="A73:B73"/>
    <mergeCell ref="C73:D73"/>
    <mergeCell ref="A74:B74"/>
    <mergeCell ref="C74:D74"/>
    <mergeCell ref="A75:B75"/>
    <mergeCell ref="C75:D75"/>
    <mergeCell ref="K72:K75"/>
    <mergeCell ref="L72:L75"/>
    <mergeCell ref="M72:M75"/>
    <mergeCell ref="A76:B76"/>
    <mergeCell ref="C76:D76"/>
    <mergeCell ref="A77:O77"/>
    <mergeCell ref="A80:B108"/>
    <mergeCell ref="C80:D80"/>
    <mergeCell ref="E80:E81"/>
    <mergeCell ref="F80:F81"/>
    <mergeCell ref="G80:G81"/>
    <mergeCell ref="H80:H81"/>
    <mergeCell ref="I80:I81"/>
    <mergeCell ref="N87:N89"/>
    <mergeCell ref="O87:O89"/>
    <mergeCell ref="C91:D91"/>
    <mergeCell ref="E91:E92"/>
    <mergeCell ref="F91:F92"/>
    <mergeCell ref="G91:G92"/>
    <mergeCell ref="H91:H92"/>
    <mergeCell ref="I91:I92"/>
    <mergeCell ref="J91:J92"/>
    <mergeCell ref="K91:K92"/>
    <mergeCell ref="L91:L92"/>
    <mergeCell ref="P80:P81"/>
    <mergeCell ref="C81:D81"/>
    <mergeCell ref="C83:D83"/>
    <mergeCell ref="C84:D85"/>
    <mergeCell ref="E84:E85"/>
    <mergeCell ref="F84:F85"/>
    <mergeCell ref="G84:G85"/>
    <mergeCell ref="H84:H85"/>
    <mergeCell ref="I84:I85"/>
    <mergeCell ref="J84:J85"/>
    <mergeCell ref="J80:J81"/>
    <mergeCell ref="K80:K81"/>
    <mergeCell ref="L80:L81"/>
    <mergeCell ref="M80:M81"/>
    <mergeCell ref="N80:N81"/>
    <mergeCell ref="O80:O81"/>
    <mergeCell ref="O94:O96"/>
    <mergeCell ref="P94:P96"/>
    <mergeCell ref="C95:D95"/>
    <mergeCell ref="C96:D96"/>
    <mergeCell ref="L94:L96"/>
    <mergeCell ref="M94:M96"/>
    <mergeCell ref="N94:N96"/>
    <mergeCell ref="P87:P89"/>
    <mergeCell ref="K84:K85"/>
    <mergeCell ref="L84:L85"/>
    <mergeCell ref="N84:N85"/>
    <mergeCell ref="C87:D87"/>
    <mergeCell ref="E87:E90"/>
    <mergeCell ref="F87:F90"/>
    <mergeCell ref="G87:G90"/>
    <mergeCell ref="H87:H90"/>
    <mergeCell ref="I87:I90"/>
    <mergeCell ref="J87:J90"/>
    <mergeCell ref="C88:D88"/>
    <mergeCell ref="C89:D89"/>
    <mergeCell ref="K87:K90"/>
    <mergeCell ref="L87:L90"/>
    <mergeCell ref="M87:M89"/>
    <mergeCell ref="C97:D97"/>
    <mergeCell ref="C99:D99"/>
    <mergeCell ref="E99:E101"/>
    <mergeCell ref="F99:F101"/>
    <mergeCell ref="G99:G101"/>
    <mergeCell ref="H99:H101"/>
    <mergeCell ref="I94:I96"/>
    <mergeCell ref="J94:J96"/>
    <mergeCell ref="K94:K96"/>
    <mergeCell ref="C94:D94"/>
    <mergeCell ref="E94:E96"/>
    <mergeCell ref="F94:F96"/>
    <mergeCell ref="G94:G96"/>
    <mergeCell ref="H94:H96"/>
    <mergeCell ref="O99:O101"/>
    <mergeCell ref="P99:P101"/>
    <mergeCell ref="C100:D100"/>
    <mergeCell ref="C101:D101"/>
    <mergeCell ref="C103:D103"/>
    <mergeCell ref="C104:D104"/>
    <mergeCell ref="E104:E105"/>
    <mergeCell ref="F104:F105"/>
    <mergeCell ref="G104:G105"/>
    <mergeCell ref="H104:H105"/>
    <mergeCell ref="I99:I101"/>
    <mergeCell ref="J99:J101"/>
    <mergeCell ref="K99:K101"/>
    <mergeCell ref="L99:L101"/>
    <mergeCell ref="M99:M101"/>
    <mergeCell ref="N99:N101"/>
    <mergeCell ref="O104:O105"/>
    <mergeCell ref="P104:P105"/>
    <mergeCell ref="C105:D105"/>
    <mergeCell ref="K104:K105"/>
    <mergeCell ref="L104:L105"/>
    <mergeCell ref="M104:M105"/>
    <mergeCell ref="N104:N105"/>
    <mergeCell ref="C107:D107"/>
    <mergeCell ref="C108:D108"/>
    <mergeCell ref="A109:B109"/>
    <mergeCell ref="C109:D109"/>
    <mergeCell ref="E109:E111"/>
    <mergeCell ref="F109:F111"/>
    <mergeCell ref="G109:G111"/>
    <mergeCell ref="I104:I105"/>
    <mergeCell ref="J104:J105"/>
    <mergeCell ref="O109:O111"/>
    <mergeCell ref="P109:P111"/>
    <mergeCell ref="A110:B110"/>
    <mergeCell ref="C110:D110"/>
    <mergeCell ref="A111:B111"/>
    <mergeCell ref="C111:D111"/>
    <mergeCell ref="H109:H111"/>
    <mergeCell ref="I109:I111"/>
    <mergeCell ref="J109:J111"/>
    <mergeCell ref="K109:K111"/>
    <mergeCell ref="L109:L111"/>
    <mergeCell ref="M109:M111"/>
    <mergeCell ref="A112:B112"/>
    <mergeCell ref="C112:D112"/>
    <mergeCell ref="A114:B114"/>
    <mergeCell ref="C114:D115"/>
    <mergeCell ref="A115:B115"/>
    <mergeCell ref="A116:B116"/>
    <mergeCell ref="C116:D117"/>
    <mergeCell ref="A117:B117"/>
    <mergeCell ref="N109:N111"/>
    <mergeCell ref="K116:K117"/>
    <mergeCell ref="L116:L117"/>
    <mergeCell ref="M116:M117"/>
    <mergeCell ref="N116:N117"/>
    <mergeCell ref="O116:O117"/>
    <mergeCell ref="P116:P117"/>
    <mergeCell ref="E116:E117"/>
    <mergeCell ref="F116:F117"/>
    <mergeCell ref="G116:G117"/>
    <mergeCell ref="H116:H117"/>
    <mergeCell ref="I116:I117"/>
    <mergeCell ref="J116:J117"/>
    <mergeCell ref="A119:O119"/>
    <mergeCell ref="A122:B122"/>
    <mergeCell ref="C122:D122"/>
    <mergeCell ref="E122:E123"/>
    <mergeCell ref="F122:F123"/>
    <mergeCell ref="G122:G123"/>
    <mergeCell ref="H122:H123"/>
    <mergeCell ref="I122:I123"/>
    <mergeCell ref="J122:J123"/>
    <mergeCell ref="K122:K123"/>
    <mergeCell ref="I124:I125"/>
    <mergeCell ref="J124:J125"/>
    <mergeCell ref="K124:K125"/>
    <mergeCell ref="A125:B125"/>
    <mergeCell ref="C125:D125"/>
    <mergeCell ref="A126:B126"/>
    <mergeCell ref="C126:D126"/>
    <mergeCell ref="A124:B124"/>
    <mergeCell ref="C124:D124"/>
    <mergeCell ref="E124:E125"/>
    <mergeCell ref="F124:F125"/>
    <mergeCell ref="G124:G125"/>
    <mergeCell ref="H124:H125"/>
    <mergeCell ref="O127:O128"/>
    <mergeCell ref="P127:P128"/>
    <mergeCell ref="A128:B128"/>
    <mergeCell ref="C128:D128"/>
    <mergeCell ref="A129:B129"/>
    <mergeCell ref="C129:D129"/>
    <mergeCell ref="I127:I128"/>
    <mergeCell ref="J127:J128"/>
    <mergeCell ref="K127:K128"/>
    <mergeCell ref="L127:L128"/>
    <mergeCell ref="M127:M128"/>
    <mergeCell ref="N127:N128"/>
    <mergeCell ref="A127:B127"/>
    <mergeCell ref="C127:D127"/>
    <mergeCell ref="E127:E128"/>
    <mergeCell ref="F127:F128"/>
    <mergeCell ref="G127:G128"/>
    <mergeCell ref="H127:H128"/>
    <mergeCell ref="A135:B135"/>
    <mergeCell ref="C135:D135"/>
    <mergeCell ref="A131:B131"/>
    <mergeCell ref="C131:D132"/>
    <mergeCell ref="A132:B132"/>
    <mergeCell ref="A133:B133"/>
    <mergeCell ref="C133:D133"/>
    <mergeCell ref="A134:B134"/>
    <mergeCell ref="C134:D134"/>
  </mergeCell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L73"/>
  <sheetViews>
    <sheetView view="pageBreakPreview" topLeftCell="A4" zoomScale="69" zoomScaleNormal="69" zoomScaleSheetLayoutView="69" workbookViewId="0">
      <pane xSplit="2" ySplit="2" topLeftCell="C9" activePane="bottomRight" state="frozen"/>
      <selection activeCell="A4" sqref="A4"/>
      <selection pane="topRight" activeCell="C4" sqref="C4"/>
      <selection pane="bottomLeft" activeCell="A6" sqref="A6"/>
      <selection pane="bottomRight" activeCell="C14" sqref="C14:K14"/>
    </sheetView>
  </sheetViews>
  <sheetFormatPr baseColWidth="10" defaultColWidth="9.140625" defaultRowHeight="15" x14ac:dyDescent="0.25"/>
  <cols>
    <col min="1" max="1" width="4.28515625" style="21" customWidth="1"/>
    <col min="2" max="2" width="30.7109375" style="21" customWidth="1"/>
    <col min="3" max="3" width="36.42578125" style="21" customWidth="1"/>
    <col min="4" max="4" width="23.140625" style="21" customWidth="1"/>
    <col min="5" max="5" width="17.5703125" style="21" customWidth="1"/>
    <col min="6" max="6" width="21.140625" style="21" customWidth="1"/>
    <col min="7" max="7" width="18" style="21" customWidth="1"/>
    <col min="8" max="8" width="24.28515625" style="21" customWidth="1"/>
    <col min="9" max="10" width="22.42578125" style="68" customWidth="1"/>
    <col min="11" max="11" width="22.42578125" style="69" customWidth="1"/>
    <col min="12" max="12" width="23.42578125" style="21" customWidth="1"/>
    <col min="13" max="16384" width="9.140625" style="21"/>
  </cols>
  <sheetData>
    <row r="2" spans="1:12" ht="29.25" customHeight="1" x14ac:dyDescent="0.7">
      <c r="B2" s="793" t="s">
        <v>554</v>
      </c>
      <c r="C2" s="793"/>
      <c r="D2" s="793"/>
      <c r="E2" s="793"/>
      <c r="F2" s="19"/>
      <c r="G2" s="19"/>
      <c r="H2" s="20"/>
      <c r="I2" s="70"/>
      <c r="J2" s="70"/>
      <c r="K2" s="529"/>
    </row>
    <row r="3" spans="1:12" ht="24" customHeight="1" x14ac:dyDescent="0.4">
      <c r="B3" s="794" t="s">
        <v>342</v>
      </c>
      <c r="C3" s="794"/>
      <c r="D3" s="794"/>
      <c r="E3" s="794"/>
      <c r="F3" s="794"/>
      <c r="G3" s="794"/>
      <c r="H3" s="794"/>
      <c r="I3" s="71"/>
      <c r="J3" s="71"/>
      <c r="K3" s="530"/>
    </row>
    <row r="4" spans="1:12" ht="9" customHeight="1" thickBot="1" x14ac:dyDescent="0.3">
      <c r="D4" s="24"/>
      <c r="E4" s="24"/>
      <c r="F4" s="24"/>
      <c r="G4" s="24"/>
      <c r="H4" s="23"/>
      <c r="I4" s="69"/>
      <c r="J4" s="69"/>
    </row>
    <row r="5" spans="1:12" ht="127.5" customHeight="1" x14ac:dyDescent="0.25">
      <c r="B5" s="39" t="s">
        <v>343</v>
      </c>
      <c r="C5" s="39" t="s">
        <v>378</v>
      </c>
      <c r="D5" s="80" t="s">
        <v>503</v>
      </c>
      <c r="E5" s="80" t="s">
        <v>504</v>
      </c>
      <c r="F5" s="80" t="s">
        <v>379</v>
      </c>
      <c r="G5" s="39" t="s">
        <v>1</v>
      </c>
      <c r="H5" s="39" t="s">
        <v>380</v>
      </c>
      <c r="I5" s="204" t="s">
        <v>810</v>
      </c>
      <c r="J5" s="204" t="s">
        <v>570</v>
      </c>
      <c r="K5" s="531" t="s">
        <v>571</v>
      </c>
      <c r="L5" s="205" t="s">
        <v>556</v>
      </c>
    </row>
    <row r="6" spans="1:12" ht="48" customHeight="1" x14ac:dyDescent="0.25">
      <c r="B6" s="39"/>
      <c r="C6" s="39"/>
      <c r="D6" s="80"/>
      <c r="E6" s="80"/>
      <c r="F6" s="80"/>
      <c r="G6" s="39"/>
      <c r="H6" s="39"/>
      <c r="I6" s="39"/>
      <c r="J6" s="39"/>
      <c r="K6" s="532"/>
      <c r="L6" s="206"/>
    </row>
    <row r="7" spans="1:12" ht="49.5" customHeight="1" x14ac:dyDescent="0.25">
      <c r="B7" s="34" t="s">
        <v>344</v>
      </c>
      <c r="C7" s="784" t="s">
        <v>542</v>
      </c>
      <c r="D7" s="784"/>
      <c r="E7" s="784"/>
      <c r="F7" s="784"/>
      <c r="G7" s="784"/>
      <c r="H7" s="784"/>
      <c r="I7" s="785"/>
      <c r="J7" s="785"/>
      <c r="K7" s="785"/>
      <c r="L7" s="206"/>
    </row>
    <row r="8" spans="1:12" ht="51" customHeight="1" x14ac:dyDescent="0.25">
      <c r="B8" s="495" t="s">
        <v>345</v>
      </c>
      <c r="C8" s="795" t="s">
        <v>536</v>
      </c>
      <c r="D8" s="796"/>
      <c r="E8" s="796"/>
      <c r="F8" s="796"/>
      <c r="G8" s="796"/>
      <c r="H8" s="796"/>
      <c r="I8" s="789"/>
      <c r="J8" s="789"/>
      <c r="K8" s="789"/>
      <c r="L8" s="206"/>
    </row>
    <row r="9" spans="1:12" ht="62.45" customHeight="1" x14ac:dyDescent="0.25">
      <c r="B9" s="35" t="s">
        <v>346</v>
      </c>
      <c r="C9" s="179" t="s">
        <v>553</v>
      </c>
      <c r="D9" s="11"/>
      <c r="E9" s="11"/>
      <c r="F9" s="11"/>
      <c r="G9" s="60">
        <f>SUM(D9:F9)</f>
        <v>0</v>
      </c>
      <c r="H9" s="58"/>
      <c r="I9" s="67"/>
      <c r="J9" s="67"/>
      <c r="K9" s="533"/>
      <c r="L9" s="508"/>
    </row>
    <row r="10" spans="1:12" ht="57.6" customHeight="1" x14ac:dyDescent="0.25">
      <c r="B10" s="35" t="s">
        <v>347</v>
      </c>
      <c r="C10" s="179" t="s">
        <v>519</v>
      </c>
      <c r="D10" s="482">
        <f>Répartition_Final!E5</f>
        <v>61500</v>
      </c>
      <c r="E10" s="482">
        <f>Répartition_Final!F5</f>
        <v>8000</v>
      </c>
      <c r="F10" s="11"/>
      <c r="G10" s="60">
        <f t="shared" ref="G10:G12" si="0">SUM(D10:F10)</f>
        <v>69500</v>
      </c>
      <c r="H10" s="58">
        <v>0.35</v>
      </c>
      <c r="I10" s="510">
        <v>3132.4</v>
      </c>
      <c r="J10" s="487">
        <v>5209.8363294875235</v>
      </c>
      <c r="K10" s="533">
        <f>I10+J10</f>
        <v>8342.2363294875231</v>
      </c>
      <c r="L10" s="206" t="s">
        <v>814</v>
      </c>
    </row>
    <row r="11" spans="1:12" ht="75" x14ac:dyDescent="0.25">
      <c r="B11" s="35" t="s">
        <v>348</v>
      </c>
      <c r="C11" s="179" t="s">
        <v>520</v>
      </c>
      <c r="D11" s="482">
        <f>Répartition_Final!E12</f>
        <v>22000</v>
      </c>
      <c r="E11" s="482">
        <f>Répartition_Final!F12</f>
        <v>6000</v>
      </c>
      <c r="F11" s="11"/>
      <c r="G11" s="60">
        <f t="shared" si="0"/>
        <v>28000</v>
      </c>
      <c r="H11" s="58">
        <v>0.35</v>
      </c>
      <c r="I11" s="496">
        <v>3378.35</v>
      </c>
      <c r="J11" s="487">
        <v>2895.0898846257041</v>
      </c>
      <c r="K11" s="533">
        <f>I11+J11</f>
        <v>6273.4398846257045</v>
      </c>
      <c r="L11" s="206" t="s">
        <v>818</v>
      </c>
    </row>
    <row r="12" spans="1:12" ht="84" customHeight="1" x14ac:dyDescent="0.25">
      <c r="B12" s="35" t="s">
        <v>349</v>
      </c>
      <c r="C12" s="179" t="s">
        <v>521</v>
      </c>
      <c r="D12" s="482">
        <f>Répartition_Final!E17</f>
        <v>13000</v>
      </c>
      <c r="E12" s="482">
        <f>Répartition_Final!F17</f>
        <v>1000</v>
      </c>
      <c r="F12" s="11"/>
      <c r="G12" s="60">
        <f t="shared" si="0"/>
        <v>14000</v>
      </c>
      <c r="H12" s="58">
        <v>0.3</v>
      </c>
      <c r="I12" s="528">
        <v>0</v>
      </c>
      <c r="J12" s="312"/>
      <c r="K12" s="533">
        <f>I12+J12</f>
        <v>0</v>
      </c>
      <c r="L12" s="509"/>
    </row>
    <row r="13" spans="1:12" ht="50.25" customHeight="1" x14ac:dyDescent="0.25">
      <c r="A13" s="22"/>
      <c r="B13" s="206"/>
      <c r="C13" s="36" t="s">
        <v>381</v>
      </c>
      <c r="D13" s="12">
        <f>SUM(D9:D12)</f>
        <v>96500</v>
      </c>
      <c r="E13" s="12">
        <f>SUM(E9:E12)</f>
        <v>15000</v>
      </c>
      <c r="F13" s="12">
        <f>SUM(F9:F12)</f>
        <v>0</v>
      </c>
      <c r="G13" s="12">
        <f>SUM(G9:G12)</f>
        <v>111500</v>
      </c>
      <c r="H13" s="48">
        <f>(H9*G9)+(H10*G10)+(H11*G11)+(H12*G12)</f>
        <v>38325</v>
      </c>
      <c r="I13" s="48">
        <f>SUM(I9:I12)</f>
        <v>6510.75</v>
      </c>
      <c r="J13" s="48">
        <f>SUM(J10:J12)</f>
        <v>8104.9262141132276</v>
      </c>
      <c r="K13" s="82">
        <f>SUM(K10:K12)</f>
        <v>14615.676214113228</v>
      </c>
      <c r="L13" s="206"/>
    </row>
    <row r="14" spans="1:12" ht="51" customHeight="1" x14ac:dyDescent="0.25">
      <c r="A14" s="22"/>
      <c r="B14" s="495" t="s">
        <v>350</v>
      </c>
      <c r="C14" s="787" t="s">
        <v>537</v>
      </c>
      <c r="D14" s="788"/>
      <c r="E14" s="788"/>
      <c r="F14" s="788"/>
      <c r="G14" s="788"/>
      <c r="H14" s="788"/>
      <c r="I14" s="789"/>
      <c r="J14" s="789"/>
      <c r="K14" s="789"/>
      <c r="L14" s="206"/>
    </row>
    <row r="15" spans="1:12" ht="93.75" customHeight="1" x14ac:dyDescent="0.25">
      <c r="A15" s="22"/>
      <c r="B15" s="35" t="s">
        <v>351</v>
      </c>
      <c r="C15" s="179" t="s">
        <v>523</v>
      </c>
      <c r="D15" s="482">
        <f>Répartition_Final!E21</f>
        <v>57000</v>
      </c>
      <c r="E15" s="11">
        <f>Répartition_Final!F21</f>
        <v>4000</v>
      </c>
      <c r="F15" s="11"/>
      <c r="G15" s="60">
        <f>SUM(D15:F15)</f>
        <v>61000</v>
      </c>
      <c r="H15" s="58">
        <v>0.4</v>
      </c>
      <c r="I15" s="496"/>
      <c r="J15" s="67"/>
      <c r="K15" s="533">
        <f>I15+J15</f>
        <v>0</v>
      </c>
      <c r="L15" s="206"/>
    </row>
    <row r="16" spans="1:12" ht="94.5" x14ac:dyDescent="0.25">
      <c r="A16" s="22"/>
      <c r="B16" s="35" t="s">
        <v>352</v>
      </c>
      <c r="C16" s="179" t="s">
        <v>524</v>
      </c>
      <c r="D16" s="482">
        <f>Répartition_Final!E26</f>
        <v>165000</v>
      </c>
      <c r="E16" s="11">
        <f>Répartition_Final!F26</f>
        <v>8000</v>
      </c>
      <c r="F16" s="11"/>
      <c r="G16" s="60">
        <f t="shared" ref="G16:G17" si="1">SUM(D16:F16)</f>
        <v>173000</v>
      </c>
      <c r="H16" s="58">
        <v>0.4</v>
      </c>
      <c r="I16" s="496">
        <v>8570</v>
      </c>
      <c r="J16" s="325">
        <f>1835.25623826134+139.52</f>
        <v>1974.77623826134</v>
      </c>
      <c r="K16" s="533">
        <f>I16+J16</f>
        <v>10544.77623826134</v>
      </c>
      <c r="L16" s="511" t="s">
        <v>819</v>
      </c>
    </row>
    <row r="17" spans="1:12" ht="108" customHeight="1" x14ac:dyDescent="0.25">
      <c r="A17" s="22"/>
      <c r="B17" s="35" t="s">
        <v>353</v>
      </c>
      <c r="C17" s="179" t="s">
        <v>546</v>
      </c>
      <c r="D17" s="482">
        <f>Répartition_Final!E30</f>
        <v>20000</v>
      </c>
      <c r="E17" s="11">
        <f>Répartition_Final!F30</f>
        <v>1000</v>
      </c>
      <c r="F17" s="11"/>
      <c r="G17" s="60">
        <f t="shared" si="1"/>
        <v>21000</v>
      </c>
      <c r="H17" s="58">
        <v>0.4</v>
      </c>
      <c r="I17" s="67"/>
      <c r="J17" s="67"/>
      <c r="K17" s="533">
        <f>I17+J17</f>
        <v>0</v>
      </c>
      <c r="L17" s="206"/>
    </row>
    <row r="18" spans="1:12" ht="37.5" customHeight="1" x14ac:dyDescent="0.25">
      <c r="A18" s="22"/>
      <c r="B18" s="206"/>
      <c r="C18" s="36" t="s">
        <v>381</v>
      </c>
      <c r="D18" s="13">
        <f>SUM(D15:D17)</f>
        <v>242000</v>
      </c>
      <c r="E18" s="13">
        <f>SUM(E15:E17)</f>
        <v>13000</v>
      </c>
      <c r="F18" s="13">
        <f>SUM(F15:F17)</f>
        <v>0</v>
      </c>
      <c r="G18" s="13">
        <f>SUM(G15:G17)</f>
        <v>255000</v>
      </c>
      <c r="H18" s="48">
        <f>(H15*G15)+(H16*G16)+(H17*G17)</f>
        <v>102000</v>
      </c>
      <c r="I18" s="48">
        <f>SUM(I15:I17)</f>
        <v>8570</v>
      </c>
      <c r="J18" s="48">
        <f>SUM(J15:J17)</f>
        <v>1974.77623826134</v>
      </c>
      <c r="K18" s="82">
        <f>SUM(K15:K17)</f>
        <v>10544.77623826134</v>
      </c>
      <c r="L18" s="206"/>
    </row>
    <row r="19" spans="1:12" ht="36.75" customHeight="1" x14ac:dyDescent="0.25">
      <c r="B19" s="7"/>
      <c r="C19" s="8"/>
      <c r="D19" s="6"/>
      <c r="E19" s="6"/>
      <c r="F19" s="6"/>
      <c r="G19" s="6"/>
      <c r="H19" s="6"/>
      <c r="I19" s="6"/>
      <c r="J19" s="6"/>
      <c r="K19" s="534"/>
      <c r="L19" s="206"/>
    </row>
    <row r="20" spans="1:12" ht="51" customHeight="1" x14ac:dyDescent="0.25">
      <c r="B20" s="497" t="s">
        <v>354</v>
      </c>
      <c r="C20" s="786" t="s">
        <v>543</v>
      </c>
      <c r="D20" s="786"/>
      <c r="E20" s="786"/>
      <c r="F20" s="786"/>
      <c r="G20" s="786"/>
      <c r="H20" s="786"/>
      <c r="I20" s="785"/>
      <c r="J20" s="785"/>
      <c r="K20" s="785"/>
      <c r="L20" s="206"/>
    </row>
    <row r="21" spans="1:12" ht="51" customHeight="1" x14ac:dyDescent="0.25">
      <c r="B21" s="495" t="s">
        <v>355</v>
      </c>
      <c r="C21" s="787" t="s">
        <v>544</v>
      </c>
      <c r="D21" s="788"/>
      <c r="E21" s="788"/>
      <c r="F21" s="788"/>
      <c r="G21" s="788"/>
      <c r="H21" s="788"/>
      <c r="I21" s="789"/>
      <c r="J21" s="789"/>
      <c r="K21" s="789"/>
      <c r="L21" s="206"/>
    </row>
    <row r="22" spans="1:12" ht="112.5" customHeight="1" x14ac:dyDescent="0.25">
      <c r="B22" s="35" t="s">
        <v>356</v>
      </c>
      <c r="C22" s="179" t="s">
        <v>535</v>
      </c>
      <c r="D22" s="482">
        <f>Répartition_Final!E33</f>
        <v>38000</v>
      </c>
      <c r="E22" s="11">
        <f>Répartition_Final!F33</f>
        <v>1000</v>
      </c>
      <c r="F22" s="11"/>
      <c r="G22" s="60">
        <f>SUM(D22:F22)</f>
        <v>39000</v>
      </c>
      <c r="H22" s="58">
        <v>0.35</v>
      </c>
      <c r="I22" s="482">
        <v>37063.519999999997</v>
      </c>
      <c r="J22" s="11"/>
      <c r="K22" s="533">
        <f>I22+J22</f>
        <v>37063.519999999997</v>
      </c>
      <c r="L22" s="511" t="s">
        <v>816</v>
      </c>
    </row>
    <row r="23" spans="1:12" ht="103.5" customHeight="1" x14ac:dyDescent="0.25">
      <c r="B23" s="35" t="s">
        <v>357</v>
      </c>
      <c r="C23" s="179" t="s">
        <v>525</v>
      </c>
      <c r="D23" s="482">
        <f>Répartition_Final!E38</f>
        <v>34000</v>
      </c>
      <c r="E23" s="11">
        <f>Répartition_Final!F38</f>
        <v>3000</v>
      </c>
      <c r="F23" s="11"/>
      <c r="G23" s="60">
        <f t="shared" ref="G23" si="2">SUM(D23:F23)</f>
        <v>37000</v>
      </c>
      <c r="H23" s="58">
        <v>0.35</v>
      </c>
      <c r="I23" s="482">
        <v>13786.95</v>
      </c>
      <c r="J23" s="11"/>
      <c r="K23" s="533">
        <f>I23+J23</f>
        <v>13786.95</v>
      </c>
      <c r="L23" s="511" t="s">
        <v>815</v>
      </c>
    </row>
    <row r="24" spans="1:12" s="22" customFormat="1" ht="45" customHeight="1" x14ac:dyDescent="0.25">
      <c r="A24" s="21"/>
      <c r="B24" s="206"/>
      <c r="C24" s="36" t="s">
        <v>381</v>
      </c>
      <c r="D24" s="12">
        <f>SUM(D22:D23)</f>
        <v>72000</v>
      </c>
      <c r="E24" s="12">
        <f>SUM(E22:E23)</f>
        <v>4000</v>
      </c>
      <c r="F24" s="12">
        <f>SUM(F22:F23)</f>
        <v>0</v>
      </c>
      <c r="G24" s="13">
        <f>SUM(G22:G23)</f>
        <v>76000</v>
      </c>
      <c r="H24" s="48">
        <f>(H22*G22)+(H23*G23)</f>
        <v>26600</v>
      </c>
      <c r="I24" s="48">
        <f>SUM(I22:I23)</f>
        <v>50850.47</v>
      </c>
      <c r="J24" s="48"/>
      <c r="K24" s="82">
        <f>SUM(K22:K23)</f>
        <v>50850.47</v>
      </c>
      <c r="L24" s="207"/>
    </row>
    <row r="25" spans="1:12" ht="51" customHeight="1" x14ac:dyDescent="0.25">
      <c r="B25" s="495" t="s">
        <v>358</v>
      </c>
      <c r="C25" s="787" t="s">
        <v>538</v>
      </c>
      <c r="D25" s="788"/>
      <c r="E25" s="788"/>
      <c r="F25" s="788"/>
      <c r="G25" s="788"/>
      <c r="H25" s="788"/>
      <c r="I25" s="789"/>
      <c r="J25" s="789"/>
      <c r="K25" s="789"/>
      <c r="L25" s="206"/>
    </row>
    <row r="26" spans="1:12" ht="63" x14ac:dyDescent="0.25">
      <c r="B26" s="35" t="s">
        <v>359</v>
      </c>
      <c r="C26" s="179" t="s">
        <v>526</v>
      </c>
      <c r="D26" s="482">
        <f>Répartition_Final!E44</f>
        <v>13000</v>
      </c>
      <c r="E26" s="11">
        <f>Répartition_Final!F44</f>
        <v>5000</v>
      </c>
      <c r="F26" s="11"/>
      <c r="G26" s="60">
        <f>SUM(D26:F26)</f>
        <v>18000</v>
      </c>
      <c r="H26" s="58">
        <v>0.25</v>
      </c>
      <c r="I26" s="490"/>
      <c r="J26" s="67"/>
      <c r="K26" s="533">
        <f>I26+J26</f>
        <v>0</v>
      </c>
      <c r="L26" s="206"/>
    </row>
    <row r="27" spans="1:12" ht="49.9" customHeight="1" x14ac:dyDescent="0.25">
      <c r="B27" s="35" t="s">
        <v>360</v>
      </c>
      <c r="C27" s="179" t="s">
        <v>527</v>
      </c>
      <c r="D27" s="11">
        <f>Répartition_Final!E50</f>
        <v>0</v>
      </c>
      <c r="E27" s="11">
        <f>Répartition_Final!F50</f>
        <v>44000</v>
      </c>
      <c r="F27" s="11"/>
      <c r="G27" s="60">
        <f t="shared" ref="G27:G29" si="3">SUM(D27:F27)</f>
        <v>44000</v>
      </c>
      <c r="H27" s="58">
        <v>0.4</v>
      </c>
      <c r="I27" s="67"/>
      <c r="J27" s="67">
        <f>660.05</f>
        <v>660.05</v>
      </c>
      <c r="K27" s="533">
        <f t="shared" ref="K27:K28" si="4">I27+J27</f>
        <v>660.05</v>
      </c>
      <c r="L27" s="206"/>
    </row>
    <row r="28" spans="1:12" ht="47.25" x14ac:dyDescent="0.25">
      <c r="B28" s="35" t="s">
        <v>361</v>
      </c>
      <c r="C28" s="179" t="s">
        <v>528</v>
      </c>
      <c r="D28" s="11">
        <f>Répartition_Final!E54</f>
        <v>0</v>
      </c>
      <c r="E28" s="11">
        <f>Répartition_Final!F54</f>
        <v>88000</v>
      </c>
      <c r="F28" s="11"/>
      <c r="G28" s="60">
        <f t="shared" si="3"/>
        <v>88000</v>
      </c>
      <c r="H28" s="58">
        <v>0.4</v>
      </c>
      <c r="I28" s="67"/>
      <c r="J28" s="67">
        <f>5489.22</f>
        <v>5489.22</v>
      </c>
      <c r="K28" s="533">
        <f t="shared" si="4"/>
        <v>5489.22</v>
      </c>
      <c r="L28" s="206"/>
    </row>
    <row r="29" spans="1:12" ht="79.900000000000006" customHeight="1" x14ac:dyDescent="0.25">
      <c r="B29" s="35" t="s">
        <v>362</v>
      </c>
      <c r="C29" s="179" t="s">
        <v>548</v>
      </c>
      <c r="D29" s="11">
        <f>Répartition_Final!E57</f>
        <v>0</v>
      </c>
      <c r="E29" s="11">
        <f>Répartition_Final!F57</f>
        <v>10000</v>
      </c>
      <c r="F29" s="11"/>
      <c r="G29" s="60">
        <f t="shared" si="3"/>
        <v>10000</v>
      </c>
      <c r="H29" s="58">
        <v>0.4</v>
      </c>
      <c r="I29" s="67"/>
      <c r="J29" s="67"/>
      <c r="K29" s="533">
        <f>I29+J29</f>
        <v>0</v>
      </c>
      <c r="L29" s="206"/>
    </row>
    <row r="30" spans="1:12" ht="39" customHeight="1" x14ac:dyDescent="0.25">
      <c r="B30" s="206"/>
      <c r="C30" s="36" t="s">
        <v>381</v>
      </c>
      <c r="D30" s="12">
        <f>SUM(D26:D29)</f>
        <v>13000</v>
      </c>
      <c r="E30" s="12">
        <f>SUM(E26:E29)</f>
        <v>147000</v>
      </c>
      <c r="F30" s="12">
        <f>SUM(F26:F29)</f>
        <v>0</v>
      </c>
      <c r="G30" s="12">
        <f>SUM(G26:G29)</f>
        <v>160000</v>
      </c>
      <c r="H30" s="48">
        <f>(H26*G26)+(H27*G27)+(H28*G28)+(H29*G29)</f>
        <v>61300</v>
      </c>
      <c r="I30" s="48">
        <f>SUM(I26:I29)</f>
        <v>0</v>
      </c>
      <c r="J30" s="48">
        <f>SUM(J26:J29)</f>
        <v>6149.27</v>
      </c>
      <c r="K30" s="82">
        <f>SUM(K26:K29)</f>
        <v>6149.27</v>
      </c>
      <c r="L30" s="206"/>
    </row>
    <row r="31" spans="1:12" ht="37.5" customHeight="1" x14ac:dyDescent="0.25">
      <c r="B31" s="4"/>
      <c r="C31" s="7"/>
      <c r="D31" s="14"/>
      <c r="E31" s="14"/>
      <c r="F31" s="14"/>
      <c r="G31" s="14"/>
      <c r="H31" s="14"/>
      <c r="I31" s="14"/>
      <c r="J31" s="14"/>
      <c r="K31" s="512"/>
      <c r="L31" s="540"/>
    </row>
    <row r="32" spans="1:12" s="324" customFormat="1" ht="51" customHeight="1" x14ac:dyDescent="0.25">
      <c r="A32" s="21"/>
      <c r="B32" s="36" t="s">
        <v>363</v>
      </c>
      <c r="C32" s="790" t="s">
        <v>545</v>
      </c>
      <c r="D32" s="790"/>
      <c r="E32" s="790"/>
      <c r="F32" s="790"/>
      <c r="G32" s="790"/>
      <c r="H32" s="790"/>
      <c r="I32" s="791"/>
      <c r="J32" s="791"/>
      <c r="K32" s="791"/>
      <c r="L32" s="323"/>
    </row>
    <row r="33" spans="2:12" ht="51" customHeight="1" x14ac:dyDescent="0.25">
      <c r="B33" s="34" t="s">
        <v>364</v>
      </c>
      <c r="C33" s="787" t="s">
        <v>539</v>
      </c>
      <c r="D33" s="788"/>
      <c r="E33" s="788"/>
      <c r="F33" s="788"/>
      <c r="G33" s="788"/>
      <c r="H33" s="788"/>
      <c r="I33" s="789"/>
      <c r="J33" s="789"/>
      <c r="K33" s="789"/>
      <c r="L33" s="206"/>
    </row>
    <row r="34" spans="2:12" ht="47.25" x14ac:dyDescent="0.25">
      <c r="B34" s="35" t="s">
        <v>365</v>
      </c>
      <c r="C34" s="179" t="s">
        <v>529</v>
      </c>
      <c r="D34" s="482">
        <f>Répartition_Final!E60</f>
        <v>30000</v>
      </c>
      <c r="E34" s="11">
        <f>Répartition_Final!F60</f>
        <v>3000</v>
      </c>
      <c r="F34" s="11"/>
      <c r="G34" s="60">
        <f>SUM(D34:F34)</f>
        <v>33000</v>
      </c>
      <c r="H34" s="58">
        <v>0.4</v>
      </c>
      <c r="I34" s="496">
        <v>3600</v>
      </c>
      <c r="J34" s="67"/>
      <c r="K34" s="533">
        <f>I34+J34</f>
        <v>3600</v>
      </c>
      <c r="L34" s="511" t="s">
        <v>817</v>
      </c>
    </row>
    <row r="35" spans="2:12" ht="63" x14ac:dyDescent="0.25">
      <c r="B35" s="35" t="s">
        <v>366</v>
      </c>
      <c r="C35" s="179" t="s">
        <v>530</v>
      </c>
      <c r="D35" s="482">
        <f>Répartition_Final!E65</f>
        <v>35500</v>
      </c>
      <c r="E35" s="11">
        <f>Répartition_Final!F65</f>
        <v>1500</v>
      </c>
      <c r="F35" s="11"/>
      <c r="G35" s="60">
        <f t="shared" ref="G35:G38" si="5">SUM(D35:F35)</f>
        <v>37000</v>
      </c>
      <c r="H35" s="58">
        <v>0.4</v>
      </c>
      <c r="I35" s="496">
        <v>3189</v>
      </c>
      <c r="J35" s="67"/>
      <c r="K35" s="533">
        <f t="shared" ref="K35:K38" si="6">I35+J35</f>
        <v>3189</v>
      </c>
      <c r="L35" s="511" t="s">
        <v>820</v>
      </c>
    </row>
    <row r="36" spans="2:12" ht="38.450000000000003" customHeight="1" x14ac:dyDescent="0.25">
      <c r="B36" s="35" t="s">
        <v>367</v>
      </c>
      <c r="C36" s="179" t="s">
        <v>531</v>
      </c>
      <c r="D36" s="482">
        <f>Répartition_Final!E69</f>
        <v>17000</v>
      </c>
      <c r="E36" s="11">
        <f>Répartition_Final!F69</f>
        <v>2000</v>
      </c>
      <c r="F36" s="11"/>
      <c r="G36" s="60">
        <f t="shared" si="5"/>
        <v>19000</v>
      </c>
      <c r="H36" s="58">
        <v>0.25</v>
      </c>
      <c r="I36" s="498"/>
      <c r="J36" s="67"/>
      <c r="K36" s="533">
        <f t="shared" si="6"/>
        <v>0</v>
      </c>
      <c r="L36" s="206"/>
    </row>
    <row r="37" spans="2:12" ht="63" x14ac:dyDescent="0.25">
      <c r="B37" s="35" t="s">
        <v>368</v>
      </c>
      <c r="C37" s="179" t="s">
        <v>550</v>
      </c>
      <c r="D37" s="482">
        <f>Répartition_Final!E72</f>
        <v>9000</v>
      </c>
      <c r="E37" s="11">
        <f>Répartition_Final!F72</f>
        <v>1500</v>
      </c>
      <c r="F37" s="11"/>
      <c r="G37" s="60">
        <f t="shared" si="5"/>
        <v>10500</v>
      </c>
      <c r="H37" s="58">
        <v>0.25</v>
      </c>
      <c r="I37" s="496">
        <v>1005.65</v>
      </c>
      <c r="J37" s="67"/>
      <c r="K37" s="533">
        <f t="shared" si="6"/>
        <v>1005.65</v>
      </c>
      <c r="L37" s="511" t="s">
        <v>817</v>
      </c>
    </row>
    <row r="38" spans="2:12" ht="47.25" x14ac:dyDescent="0.25">
      <c r="B38" s="35" t="s">
        <v>369</v>
      </c>
      <c r="C38" s="179" t="s">
        <v>532</v>
      </c>
      <c r="D38" s="482">
        <f>Répartition_Final!E73</f>
        <v>61000</v>
      </c>
      <c r="E38" s="11">
        <f>Répartition_Final!F73</f>
        <v>3000</v>
      </c>
      <c r="F38" s="11"/>
      <c r="G38" s="60">
        <f t="shared" si="5"/>
        <v>64000</v>
      </c>
      <c r="H38" s="58">
        <v>0.25</v>
      </c>
      <c r="I38" s="67"/>
      <c r="J38" s="67"/>
      <c r="K38" s="533">
        <f t="shared" si="6"/>
        <v>0</v>
      </c>
      <c r="L38" s="206"/>
    </row>
    <row r="39" spans="2:12" ht="50.25" customHeight="1" x14ac:dyDescent="0.25">
      <c r="B39" s="206"/>
      <c r="C39" s="36" t="s">
        <v>381</v>
      </c>
      <c r="D39" s="12">
        <f>SUM(D34:D38)</f>
        <v>152500</v>
      </c>
      <c r="E39" s="12">
        <f>SUM(E34:E38)</f>
        <v>11000</v>
      </c>
      <c r="F39" s="12">
        <f>SUM(F34:F38)</f>
        <v>0</v>
      </c>
      <c r="G39" s="13">
        <f>SUM(G34:G38)</f>
        <v>163500</v>
      </c>
      <c r="H39" s="48">
        <f>(H34*G34)+(H35*G35)+(H36*G36)+(H37*G37)+(H38*G38)</f>
        <v>51375</v>
      </c>
      <c r="I39" s="48">
        <f>SUM(I34:I38)</f>
        <v>7794.65</v>
      </c>
      <c r="J39" s="48"/>
      <c r="K39" s="82">
        <f>SUM(K34:K38)</f>
        <v>7794.65</v>
      </c>
      <c r="L39" s="206"/>
    </row>
    <row r="40" spans="2:12" ht="51" customHeight="1" x14ac:dyDescent="0.25">
      <c r="B40" s="34" t="s">
        <v>370</v>
      </c>
      <c r="C40" s="787" t="s">
        <v>540</v>
      </c>
      <c r="D40" s="788"/>
      <c r="E40" s="788"/>
      <c r="F40" s="788"/>
      <c r="G40" s="788"/>
      <c r="H40" s="788"/>
      <c r="I40" s="789"/>
      <c r="J40" s="789"/>
      <c r="K40" s="789"/>
      <c r="L40" s="206"/>
    </row>
    <row r="41" spans="2:12" ht="94.5" x14ac:dyDescent="0.25">
      <c r="B41" s="35" t="s">
        <v>371</v>
      </c>
      <c r="C41" s="179" t="s">
        <v>534</v>
      </c>
      <c r="D41" s="482">
        <f>Répartition_Final!E79</f>
        <v>52000</v>
      </c>
      <c r="E41" s="11">
        <f>Répartition_Final!F79</f>
        <v>3000</v>
      </c>
      <c r="F41" s="11"/>
      <c r="G41" s="60">
        <f>SUM(D41:F41)</f>
        <v>55000</v>
      </c>
      <c r="H41" s="58">
        <v>0.4</v>
      </c>
      <c r="I41" s="67"/>
      <c r="J41" s="67"/>
      <c r="K41" s="533">
        <f>I41+J41</f>
        <v>0</v>
      </c>
      <c r="L41" s="206"/>
    </row>
    <row r="42" spans="2:12" ht="168.75" customHeight="1" x14ac:dyDescent="0.25">
      <c r="B42" s="35" t="s">
        <v>372</v>
      </c>
      <c r="C42" s="179" t="s">
        <v>541</v>
      </c>
      <c r="D42" s="482">
        <f>Répartition_Final!E83</f>
        <v>190000</v>
      </c>
      <c r="E42" s="11">
        <f>Répartition_Final!F83</f>
        <v>0</v>
      </c>
      <c r="F42" s="11"/>
      <c r="G42" s="60">
        <f t="shared" ref="G42:G43" si="7">SUM(D42:F42)</f>
        <v>190000</v>
      </c>
      <c r="H42" s="58">
        <v>0.4</v>
      </c>
      <c r="I42" s="67"/>
      <c r="J42" s="67"/>
      <c r="K42" s="533">
        <f t="shared" ref="K42:K43" si="8">I42+J42</f>
        <v>0</v>
      </c>
      <c r="L42" s="206"/>
    </row>
    <row r="43" spans="2:12" ht="78" customHeight="1" x14ac:dyDescent="0.25">
      <c r="B43" s="35" t="s">
        <v>373</v>
      </c>
      <c r="C43" s="179" t="s">
        <v>533</v>
      </c>
      <c r="D43" s="513">
        <f>Répartition_Final!E85</f>
        <v>13869.158878504531</v>
      </c>
      <c r="E43" s="11">
        <f>Répartition_Final!F85</f>
        <v>2000</v>
      </c>
      <c r="F43" s="11"/>
      <c r="G43" s="60">
        <f t="shared" si="7"/>
        <v>15869.158878504531</v>
      </c>
      <c r="H43" s="58">
        <v>0.4</v>
      </c>
      <c r="I43" s="67"/>
      <c r="J43" s="67"/>
      <c r="K43" s="533">
        <f t="shared" si="8"/>
        <v>0</v>
      </c>
      <c r="L43" s="206"/>
    </row>
    <row r="44" spans="2:12" ht="45" customHeight="1" x14ac:dyDescent="0.25">
      <c r="B44" s="206"/>
      <c r="C44" s="36" t="s">
        <v>381</v>
      </c>
      <c r="D44" s="12">
        <f>SUM(D41:D43)</f>
        <v>255869.15887850453</v>
      </c>
      <c r="E44" s="12">
        <f>SUM(E41:E43)</f>
        <v>5000</v>
      </c>
      <c r="F44" s="12">
        <f>SUM(F41:F43)</f>
        <v>0</v>
      </c>
      <c r="G44" s="12">
        <f>SUM(G41:G43)</f>
        <v>260869.15887850453</v>
      </c>
      <c r="H44" s="48">
        <f>(H41*G41)+(H42*G42)+(H43*G43)</f>
        <v>104347.66355140181</v>
      </c>
      <c r="I44" s="48">
        <f>SUM(I41:I43)</f>
        <v>0</v>
      </c>
      <c r="J44" s="48"/>
      <c r="K44" s="533">
        <f>SUM(K41:K43)</f>
        <v>0</v>
      </c>
      <c r="L44" s="206"/>
    </row>
    <row r="45" spans="2:12" ht="36.75" customHeight="1" x14ac:dyDescent="0.25">
      <c r="B45" s="4"/>
      <c r="C45" s="7"/>
      <c r="D45" s="14"/>
      <c r="E45" s="14"/>
      <c r="F45" s="14"/>
      <c r="G45" s="14"/>
      <c r="H45" s="14"/>
      <c r="I45" s="14"/>
      <c r="J45" s="14"/>
      <c r="K45" s="512"/>
      <c r="L45" s="206"/>
    </row>
    <row r="46" spans="2:12" ht="63.75" customHeight="1" x14ac:dyDescent="0.25">
      <c r="B46" s="36" t="s">
        <v>374</v>
      </c>
      <c r="C46" s="10"/>
      <c r="D46" s="499">
        <f>Répartition_Final!E89</f>
        <v>30000</v>
      </c>
      <c r="E46" s="15">
        <f>Répartition_Final!F89</f>
        <v>45000</v>
      </c>
      <c r="F46" s="15"/>
      <c r="G46" s="49">
        <f>SUM(D46:F46)</f>
        <v>75000</v>
      </c>
      <c r="H46" s="59">
        <v>0.4</v>
      </c>
      <c r="I46" s="500">
        <v>2936</v>
      </c>
      <c r="J46" s="217">
        <v>15300</v>
      </c>
      <c r="K46" s="535">
        <f>I46+J46</f>
        <v>18236</v>
      </c>
      <c r="L46" s="206"/>
    </row>
    <row r="47" spans="2:12" ht="69.75" customHeight="1" x14ac:dyDescent="0.25">
      <c r="B47" s="36" t="s">
        <v>375</v>
      </c>
      <c r="C47" s="10"/>
      <c r="D47" s="499">
        <f>Répartition_Final!E90</f>
        <v>184626.16822429909</v>
      </c>
      <c r="E47" s="15">
        <f>Répartition_Final!F90</f>
        <v>25373.831775700906</v>
      </c>
      <c r="F47" s="15"/>
      <c r="G47" s="49">
        <f>SUM(D47:F47)</f>
        <v>210000</v>
      </c>
      <c r="H47" s="59">
        <v>0.35</v>
      </c>
      <c r="I47" s="500">
        <v>47637.67</v>
      </c>
      <c r="J47" s="312">
        <v>15011.453203649047</v>
      </c>
      <c r="K47" s="535">
        <f>I47+J47</f>
        <v>62649.123203649047</v>
      </c>
      <c r="L47" s="206"/>
    </row>
    <row r="48" spans="2:12" ht="57" customHeight="1" x14ac:dyDescent="0.25">
      <c r="B48" s="36" t="s">
        <v>376</v>
      </c>
      <c r="C48" s="53"/>
      <c r="D48" s="499">
        <f>Répartition_Final!E91</f>
        <v>40000</v>
      </c>
      <c r="E48" s="15">
        <f>Répartition_Final!F91</f>
        <v>15000</v>
      </c>
      <c r="F48" s="15"/>
      <c r="G48" s="49">
        <f>SUM(D48:F48)</f>
        <v>55000</v>
      </c>
      <c r="H48" s="59">
        <v>0.35</v>
      </c>
      <c r="I48" s="500">
        <v>10266.280000000001</v>
      </c>
      <c r="J48" s="217">
        <v>6965.8458062785085</v>
      </c>
      <c r="K48" s="535">
        <f>I48+J48</f>
        <v>17232.125806278509</v>
      </c>
      <c r="L48" s="206"/>
    </row>
    <row r="49" spans="1:12" ht="65.25" customHeight="1" x14ac:dyDescent="0.25">
      <c r="B49" s="54" t="s">
        <v>377</v>
      </c>
      <c r="C49" s="10"/>
      <c r="D49" s="499">
        <f>Répartition_Final!E92</f>
        <v>35000</v>
      </c>
      <c r="E49" s="15">
        <f>Répartition_Final!F92</f>
        <v>0</v>
      </c>
      <c r="F49" s="15"/>
      <c r="G49" s="49">
        <f>SUM(D49:F49)</f>
        <v>35000</v>
      </c>
      <c r="H49" s="59">
        <v>0.35</v>
      </c>
      <c r="I49" s="82">
        <v>0</v>
      </c>
      <c r="J49" s="217">
        <v>0</v>
      </c>
      <c r="K49" s="535">
        <f>I49+J49</f>
        <v>0</v>
      </c>
      <c r="L49" s="206"/>
    </row>
    <row r="50" spans="1:12" ht="48" customHeight="1" x14ac:dyDescent="0.25">
      <c r="B50" s="541"/>
      <c r="C50" s="55" t="s">
        <v>382</v>
      </c>
      <c r="D50" s="61">
        <f>SUM(D46:D49)</f>
        <v>289626.16822429909</v>
      </c>
      <c r="E50" s="61">
        <f>SUM(E46:E49)</f>
        <v>85373.831775700906</v>
      </c>
      <c r="F50" s="61">
        <f>SUM(F46:F49)</f>
        <v>0</v>
      </c>
      <c r="G50" s="61">
        <f>SUM(G46:G49)</f>
        <v>375000</v>
      </c>
      <c r="H50" s="48">
        <f>(H46*G46)+(H47*G47)+(H48*G48)+(H49*G49)</f>
        <v>135000</v>
      </c>
      <c r="I50" s="218">
        <f>SUM(I46:I49)</f>
        <v>60839.95</v>
      </c>
      <c r="J50" s="61">
        <f>SUM(J46:J49)</f>
        <v>37277.299009927556</v>
      </c>
      <c r="K50" s="82">
        <f>I50+J50</f>
        <v>98117.24900992756</v>
      </c>
      <c r="L50" s="206"/>
    </row>
    <row r="51" spans="1:12" ht="15.75" customHeight="1" x14ac:dyDescent="0.25">
      <c r="B51" s="4"/>
      <c r="C51" s="7"/>
      <c r="D51" s="14"/>
      <c r="E51" s="14"/>
      <c r="F51" s="14"/>
      <c r="G51" s="14"/>
      <c r="H51" s="14"/>
      <c r="I51" s="512"/>
      <c r="J51" s="512"/>
      <c r="K51" s="512"/>
      <c r="L51" s="514"/>
    </row>
    <row r="52" spans="1:12" ht="15.75" customHeight="1" x14ac:dyDescent="0.25">
      <c r="B52" s="792"/>
      <c r="C52" s="792"/>
      <c r="D52" s="792"/>
      <c r="E52" s="792"/>
      <c r="F52" s="792"/>
      <c r="G52" s="792"/>
      <c r="H52" s="792"/>
      <c r="I52" s="782" t="s">
        <v>812</v>
      </c>
      <c r="J52" s="782"/>
      <c r="K52" s="782"/>
      <c r="L52" s="782"/>
    </row>
    <row r="53" spans="1:12" ht="15.75" customHeight="1" thickBot="1" x14ac:dyDescent="0.3">
      <c r="B53" s="792"/>
      <c r="C53" s="792"/>
      <c r="D53" s="792"/>
      <c r="E53" s="792"/>
      <c r="F53" s="792"/>
      <c r="G53" s="792"/>
      <c r="H53" s="792"/>
      <c r="I53" s="782"/>
      <c r="J53" s="782"/>
      <c r="K53" s="782"/>
      <c r="L53" s="782"/>
    </row>
    <row r="54" spans="1:12" ht="15.75" x14ac:dyDescent="0.25">
      <c r="B54" s="4"/>
      <c r="C54" s="779" t="s">
        <v>391</v>
      </c>
      <c r="D54" s="780"/>
      <c r="E54" s="780"/>
      <c r="F54" s="780"/>
      <c r="G54" s="781"/>
      <c r="H54" s="9"/>
      <c r="I54" s="515"/>
      <c r="J54" s="515"/>
      <c r="K54" s="515"/>
      <c r="L54" s="69"/>
    </row>
    <row r="55" spans="1:12" ht="73.5" customHeight="1" thickBot="1" x14ac:dyDescent="0.3">
      <c r="B55" s="3"/>
      <c r="C55" s="76"/>
      <c r="D55" s="81" t="str">
        <f>D5</f>
        <v>PNUD
(budget en USD)</v>
      </c>
      <c r="E55" s="81" t="str">
        <f t="shared" ref="E55:F55" si="9">E5</f>
        <v>MSIS-tatao
(budget en USD)</v>
      </c>
      <c r="F55" s="81" t="str">
        <f t="shared" si="9"/>
        <v>Organisation recipiendiaire 3 (budget en USD)</v>
      </c>
      <c r="G55" s="77" t="s">
        <v>1</v>
      </c>
      <c r="H55" s="3"/>
      <c r="I55" s="81" t="str">
        <f>I5</f>
        <v>Niveau de depense actuel en USD  -PNUD</v>
      </c>
      <c r="J55" s="81" t="str">
        <f t="shared" ref="J55:K55" si="10">J5</f>
        <v>Niveau de depense/ engagement actuel en USD  - MSIS TATAO</v>
      </c>
      <c r="K55" s="528" t="str">
        <f t="shared" si="10"/>
        <v xml:space="preserve">Niveau de depense TOTAL/ engagement actuel en USD  </v>
      </c>
      <c r="L55" s="69"/>
    </row>
    <row r="56" spans="1:12" ht="50.25" customHeight="1" x14ac:dyDescent="0.25">
      <c r="B56" s="3"/>
      <c r="C56" s="50" t="s">
        <v>383</v>
      </c>
      <c r="D56" s="37">
        <f>SUM(D13,D18,D24,D30,D39,D44,D46,D47,D48,D49)</f>
        <v>1121495.3271028036</v>
      </c>
      <c r="E56" s="37">
        <f>SUM(E13,E18,E24,E30,E39,E44,E46,E47,E48,E49)</f>
        <v>280373.83177570091</v>
      </c>
      <c r="F56" s="37">
        <f>SUM(F13,F18,F24,F30,F39,F44,F46,F47,F48,F49)</f>
        <v>0</v>
      </c>
      <c r="G56" s="51">
        <f>SUM(D56:F56)</f>
        <v>1401869.1588785045</v>
      </c>
      <c r="H56" s="3"/>
      <c r="I56" s="219">
        <f>I13+I18+I24+I39+I50</f>
        <v>134565.82</v>
      </c>
      <c r="J56" s="219">
        <f>+J50+J44+J39+J30+J24+J18+J13+J6</f>
        <v>53506.271462302124</v>
      </c>
      <c r="K56" s="536">
        <f>I56+J56</f>
        <v>188072.09146230214</v>
      </c>
      <c r="L56" s="783" t="s">
        <v>813</v>
      </c>
    </row>
    <row r="57" spans="1:12" ht="54.75" customHeight="1" x14ac:dyDescent="0.25">
      <c r="B57" s="3"/>
      <c r="C57" s="72" t="s">
        <v>384</v>
      </c>
      <c r="D57" s="37">
        <f>D56*0.07</f>
        <v>78504.672897196258</v>
      </c>
      <c r="E57" s="37">
        <f>E56*0.07</f>
        <v>19626.168224299065</v>
      </c>
      <c r="F57" s="37">
        <f>F56*0.07</f>
        <v>0</v>
      </c>
      <c r="G57" s="51">
        <f>G56*0.07</f>
        <v>98130.841121495323</v>
      </c>
      <c r="H57" s="3"/>
      <c r="I57" s="501">
        <v>8767</v>
      </c>
      <c r="J57" s="37">
        <f>+J56*0.07</f>
        <v>3745.4390023611491</v>
      </c>
      <c r="K57" s="537">
        <f>I57+J57</f>
        <v>12512.439002361149</v>
      </c>
      <c r="L57" s="783"/>
    </row>
    <row r="58" spans="1:12" ht="51.75" customHeight="1" thickBot="1" x14ac:dyDescent="0.3">
      <c r="B58" s="3"/>
      <c r="C58" s="17" t="s">
        <v>1</v>
      </c>
      <c r="D58" s="42">
        <f>SUM(D56:D57)</f>
        <v>1200000</v>
      </c>
      <c r="E58" s="42">
        <f>SUM(E56:E57)</f>
        <v>300000</v>
      </c>
      <c r="F58" s="42">
        <f>SUM(F56:F57)</f>
        <v>0</v>
      </c>
      <c r="G58" s="52">
        <f>SUM(G56:G57)</f>
        <v>1499999.9999999998</v>
      </c>
      <c r="H58" s="3"/>
      <c r="I58" s="223">
        <f>SUM(I56:I57)</f>
        <v>143332.82</v>
      </c>
      <c r="J58" s="223">
        <f>SUM(J56:J57)</f>
        <v>57251.710464663272</v>
      </c>
      <c r="K58" s="538">
        <f>SUM(K56:K57)</f>
        <v>200584.53046466329</v>
      </c>
      <c r="L58" s="783"/>
    </row>
    <row r="59" spans="1:12" ht="42" customHeight="1" thickBot="1" x14ac:dyDescent="0.3">
      <c r="B59" s="68"/>
      <c r="C59" s="68"/>
      <c r="D59" s="68"/>
      <c r="E59" s="68"/>
      <c r="F59" s="68"/>
      <c r="G59" s="68"/>
      <c r="H59" s="224" t="s">
        <v>566</v>
      </c>
      <c r="I59" s="502">
        <f>I58/D58</f>
        <v>0.11944401666666667</v>
      </c>
      <c r="J59" s="503">
        <f>J58/E58</f>
        <v>0.19083903488221091</v>
      </c>
      <c r="K59" s="539">
        <f>K58/G58</f>
        <v>0.13372302030977554</v>
      </c>
      <c r="L59" s="783"/>
    </row>
    <row r="60" spans="1:12" s="22" customFormat="1" ht="29.25" customHeight="1" thickBot="1" x14ac:dyDescent="0.3">
      <c r="A60" s="21"/>
      <c r="B60" s="68"/>
      <c r="C60" s="68"/>
      <c r="D60" s="68"/>
      <c r="E60" s="68"/>
      <c r="F60" s="68"/>
      <c r="G60" s="68"/>
      <c r="H60" s="18"/>
      <c r="I60" s="68"/>
      <c r="J60" s="68"/>
      <c r="K60" s="69"/>
    </row>
    <row r="61" spans="1:12" ht="51" customHeight="1" x14ac:dyDescent="0.25">
      <c r="B61" s="1"/>
      <c r="C61" s="771" t="s">
        <v>385</v>
      </c>
      <c r="D61" s="772"/>
      <c r="E61" s="773"/>
      <c r="F61" s="773"/>
      <c r="G61" s="773"/>
      <c r="H61" s="774"/>
    </row>
    <row r="62" spans="1:12" ht="51.75" customHeight="1" x14ac:dyDescent="0.25">
      <c r="B62" s="1"/>
      <c r="C62" s="38"/>
      <c r="D62" s="81" t="str">
        <f>D5</f>
        <v>PNUD
(budget en USD)</v>
      </c>
      <c r="E62" s="81" t="str">
        <f t="shared" ref="E62:F62" si="11">E5</f>
        <v>MSIS-tatao
(budget en USD)</v>
      </c>
      <c r="F62" s="81" t="str">
        <f t="shared" si="11"/>
        <v>Organisation recipiendiaire 3 (budget en USD)</v>
      </c>
      <c r="G62" s="78" t="s">
        <v>1</v>
      </c>
      <c r="H62" s="79" t="s">
        <v>0</v>
      </c>
    </row>
    <row r="63" spans="1:12" ht="55.5" customHeight="1" x14ac:dyDescent="0.25">
      <c r="B63" s="1"/>
      <c r="C63" s="16" t="s">
        <v>386</v>
      </c>
      <c r="D63" s="40">
        <f>$D$58*H63</f>
        <v>780000</v>
      </c>
      <c r="E63" s="41">
        <f>$E$58*H63</f>
        <v>195000</v>
      </c>
      <c r="F63" s="41">
        <f>$F$58*H63</f>
        <v>0</v>
      </c>
      <c r="G63" s="41">
        <f>SUM(D63:F63)</f>
        <v>975000</v>
      </c>
      <c r="H63" s="62">
        <v>0.65</v>
      </c>
    </row>
    <row r="64" spans="1:12" ht="57.75" customHeight="1" x14ac:dyDescent="0.25">
      <c r="B64" s="770"/>
      <c r="C64" s="56" t="s">
        <v>387</v>
      </c>
      <c r="D64" s="40">
        <f>$D$58*H64</f>
        <v>420000</v>
      </c>
      <c r="E64" s="41">
        <f>$E$58*H64</f>
        <v>105000</v>
      </c>
      <c r="F64" s="41">
        <f>$F$58*H64</f>
        <v>0</v>
      </c>
      <c r="G64" s="57">
        <f>SUM(D64:F64)</f>
        <v>525000</v>
      </c>
      <c r="H64" s="63">
        <v>0.35</v>
      </c>
    </row>
    <row r="65" spans="2:10" ht="57.75" customHeight="1" x14ac:dyDescent="0.25">
      <c r="B65" s="770"/>
      <c r="C65" s="56" t="s">
        <v>388</v>
      </c>
      <c r="D65" s="40">
        <f>$D$58*H65</f>
        <v>0</v>
      </c>
      <c r="E65" s="41">
        <f>$E$58*H65</f>
        <v>0</v>
      </c>
      <c r="F65" s="41">
        <f>$F$58*H65</f>
        <v>0</v>
      </c>
      <c r="G65" s="57">
        <f>SUM(D65:F65)</f>
        <v>0</v>
      </c>
      <c r="H65" s="64">
        <v>0</v>
      </c>
    </row>
    <row r="66" spans="2:10" ht="38.25" customHeight="1" thickBot="1" x14ac:dyDescent="0.3">
      <c r="B66" s="770"/>
      <c r="C66" s="17" t="s">
        <v>1</v>
      </c>
      <c r="D66" s="42">
        <f>SUM(D63:D65)</f>
        <v>1200000</v>
      </c>
      <c r="E66" s="42">
        <f>SUM(E63:E65)</f>
        <v>300000</v>
      </c>
      <c r="F66" s="42">
        <f>SUM(F63:F65)</f>
        <v>0</v>
      </c>
      <c r="G66" s="42">
        <f>SUM(G63:G65)</f>
        <v>1500000</v>
      </c>
      <c r="H66" s="43">
        <f>SUM(H63:H65)</f>
        <v>1</v>
      </c>
    </row>
    <row r="67" spans="2:10" ht="31.5" customHeight="1" thickBot="1" x14ac:dyDescent="0.3">
      <c r="B67" s="770"/>
      <c r="C67" s="2"/>
      <c r="D67" s="5"/>
      <c r="E67" s="5"/>
      <c r="F67" s="5"/>
      <c r="G67" s="5"/>
      <c r="H67" s="5"/>
    </row>
    <row r="68" spans="2:10" ht="49.5" customHeight="1" x14ac:dyDescent="0.25">
      <c r="B68" s="770"/>
      <c r="C68" s="44" t="s">
        <v>393</v>
      </c>
      <c r="D68" s="45">
        <f>SUM(H13,H18,H24,H30,H39,H44,H50)*1.07</f>
        <v>555274</v>
      </c>
      <c r="E68" s="23"/>
      <c r="F68" s="73" t="s">
        <v>395</v>
      </c>
      <c r="G68" s="74">
        <f>K58</f>
        <v>200584.53046466329</v>
      </c>
    </row>
    <row r="69" spans="2:10" ht="42.75" customHeight="1" thickBot="1" x14ac:dyDescent="0.3">
      <c r="B69" s="770"/>
      <c r="C69" s="46" t="s">
        <v>389</v>
      </c>
      <c r="D69" s="66">
        <f>D68/G58</f>
        <v>0.37018266666666672</v>
      </c>
      <c r="E69" s="23"/>
      <c r="F69" s="75" t="s">
        <v>396</v>
      </c>
      <c r="G69" s="220">
        <f>G68/G66</f>
        <v>0.13372302030977554</v>
      </c>
    </row>
    <row r="70" spans="2:10" ht="28.5" customHeight="1" x14ac:dyDescent="0.25">
      <c r="B70" s="770"/>
      <c r="C70" s="777"/>
      <c r="D70" s="778"/>
      <c r="E70" s="23"/>
      <c r="F70" s="23"/>
      <c r="G70" s="23"/>
    </row>
    <row r="71" spans="2:10" ht="43.5" customHeight="1" x14ac:dyDescent="0.25">
      <c r="B71" s="770"/>
      <c r="C71" s="46" t="s">
        <v>394</v>
      </c>
      <c r="D71" s="47">
        <f>SUM(D48:F49)*1.07</f>
        <v>96300</v>
      </c>
      <c r="E71" s="23"/>
      <c r="F71" s="23"/>
      <c r="G71" s="23"/>
    </row>
    <row r="72" spans="2:10" ht="45.75" customHeight="1" x14ac:dyDescent="0.25">
      <c r="B72" s="770"/>
      <c r="C72" s="46" t="s">
        <v>390</v>
      </c>
      <c r="D72" s="66">
        <f>D71/G58</f>
        <v>6.4200000000000007E-2</v>
      </c>
      <c r="E72" s="23"/>
      <c r="F72" s="23"/>
      <c r="G72" s="23"/>
    </row>
    <row r="73" spans="2:10" ht="66.75" customHeight="1" thickBot="1" x14ac:dyDescent="0.3">
      <c r="B73" s="770"/>
      <c r="C73" s="775" t="s">
        <v>392</v>
      </c>
      <c r="D73" s="776"/>
      <c r="E73" s="23"/>
      <c r="F73" s="23"/>
      <c r="G73" s="68"/>
      <c r="H73" s="23"/>
      <c r="I73" s="69"/>
      <c r="J73" s="69"/>
    </row>
  </sheetData>
  <sheetProtection formatCells="0" formatColumns="0" formatRows="0"/>
  <protectedRanges>
    <protectedRange sqref="I5" name="Range1"/>
  </protectedRanges>
  <mergeCells count="20">
    <mergeCell ref="B2:E2"/>
    <mergeCell ref="B3:H3"/>
    <mergeCell ref="C14:K14"/>
    <mergeCell ref="C8:K8"/>
    <mergeCell ref="C25:K25"/>
    <mergeCell ref="I52:L53"/>
    <mergeCell ref="L56:L59"/>
    <mergeCell ref="C7:K7"/>
    <mergeCell ref="C20:K20"/>
    <mergeCell ref="C21:K21"/>
    <mergeCell ref="C32:K32"/>
    <mergeCell ref="C33:K33"/>
    <mergeCell ref="C40:K40"/>
    <mergeCell ref="B52:E53"/>
    <mergeCell ref="F52:H53"/>
    <mergeCell ref="B64:B73"/>
    <mergeCell ref="C61:H61"/>
    <mergeCell ref="C73:D73"/>
    <mergeCell ref="C70:D70"/>
    <mergeCell ref="C54:G54"/>
  </mergeCells>
  <conditionalFormatting sqref="D69">
    <cfRule type="cellIs" dxfId="7" priority="46" operator="lessThan">
      <formula>0.15</formula>
    </cfRule>
  </conditionalFormatting>
  <conditionalFormatting sqref="D72">
    <cfRule type="cellIs" dxfId="6" priority="44" operator="lessThan">
      <formula>0.05</formula>
    </cfRule>
  </conditionalFormatting>
  <conditionalFormatting sqref="H66">
    <cfRule type="cellIs" dxfId="5" priority="1" operator="greaterThan">
      <formula>1</formula>
    </cfRule>
  </conditionalFormatting>
  <dataValidations xWindow="431" yWindow="475" count="5">
    <dataValidation allowBlank="1" showInputMessage="1" showErrorMessage="1" prompt="M&amp;E Budget Cannot be Less than 5%_x000a_" sqref="E72:G72" xr:uid="{00000000-0002-0000-0300-000000000000}"/>
    <dataValidation allowBlank="1" showInputMessage="1" showErrorMessage="1" prompt="Insert *text* description of Outcome here" sqref="C7:K7 C20:K20 C32:K32" xr:uid="{00000000-0002-0000-0300-000001000000}"/>
    <dataValidation allowBlank="1" showInputMessage="1" showErrorMessage="1" prompt="Insert *text* description of Output here" sqref="C8 C14 C21 C25 C33 C40" xr:uid="{00000000-0002-0000-0300-000002000000}"/>
    <dataValidation allowBlank="1" showInputMessage="1" showErrorMessage="1" prompt="Insert *text* description of Activity here" sqref="C9 C15 C22 C26 C34 C41" xr:uid="{00000000-0002-0000-0300-000003000000}"/>
    <dataValidation allowBlank="1" showErrorMessage="1" prompt="% Towards Gender Equality and Women's Empowerment Must be Higher than 15%_x000a_" sqref="D71:G71 D69" xr:uid="{00000000-0002-0000-0300-000004000000}"/>
  </dataValidations>
  <pageMargins left="0.20866141699999999" right="0.25" top="0.25" bottom="0.25" header="0.31496062992126" footer="0.31496062992126"/>
  <pageSetup scale="15" fitToHeight="5" orientation="landscape"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M134"/>
  <sheetViews>
    <sheetView tabSelected="1" zoomScale="75" zoomScaleNormal="75" workbookViewId="0">
      <pane xSplit="1" ySplit="4" topLeftCell="B20" activePane="bottomRight" state="frozen"/>
      <selection pane="topRight" activeCell="B1" sqref="B1"/>
      <selection pane="bottomLeft" activeCell="A5" sqref="A5"/>
      <selection pane="bottomRight" activeCell="F4" sqref="F4"/>
    </sheetView>
  </sheetViews>
  <sheetFormatPr baseColWidth="10" defaultColWidth="9.140625" defaultRowHeight="15.75" x14ac:dyDescent="0.25"/>
  <cols>
    <col min="1" max="1" width="4.42578125" style="25" customWidth="1"/>
    <col min="2" max="2" width="13.85546875" style="26" customWidth="1"/>
    <col min="3" max="3" width="45.7109375" style="26" customWidth="1"/>
    <col min="4" max="4" width="23.7109375" style="26" customWidth="1"/>
    <col min="5" max="5" width="25.7109375" style="25" customWidth="1"/>
    <col min="6" max="6" width="21.42578125" style="25" customWidth="1"/>
    <col min="7" max="7" width="22.7109375" style="25" customWidth="1"/>
    <col min="8" max="8" width="21.7109375" style="25" customWidth="1"/>
    <col min="9" max="9" width="19" style="25" customWidth="1"/>
    <col min="10" max="10" width="15.28515625" style="25" customWidth="1"/>
    <col min="11" max="11" width="16.5703125" style="25" customWidth="1"/>
    <col min="12" max="12" width="15.85546875" style="27" customWidth="1"/>
    <col min="13" max="13" width="24.28515625" style="25" customWidth="1"/>
    <col min="14" max="14" width="26.42578125" style="25" customWidth="1"/>
    <col min="15" max="15" width="30.140625" style="25" customWidth="1"/>
    <col min="16" max="16" width="33" style="25" customWidth="1"/>
    <col min="17" max="18" width="22.7109375" style="25" customWidth="1"/>
    <col min="19" max="19" width="23.42578125" style="25" customWidth="1"/>
    <col min="20" max="20" width="32.140625" style="25" customWidth="1"/>
    <col min="21" max="21" width="9.140625" style="25"/>
    <col min="22" max="22" width="17.7109375" style="25" customWidth="1"/>
    <col min="23" max="23" width="26.42578125" style="25" customWidth="1"/>
    <col min="24" max="24" width="22.42578125" style="25" customWidth="1"/>
    <col min="25" max="25" width="29.7109375" style="25" customWidth="1"/>
    <col min="26" max="26" width="23.42578125" style="25" customWidth="1"/>
    <col min="27" max="27" width="18.42578125" style="25" customWidth="1"/>
    <col min="28" max="28" width="17.42578125" style="25" customWidth="1"/>
    <col min="29" max="29" width="25.140625" style="25" customWidth="1"/>
    <col min="30" max="16384" width="9.140625" style="25"/>
  </cols>
  <sheetData>
    <row r="1" spans="1:13" ht="47.25" thickBot="1" x14ac:dyDescent="0.75">
      <c r="A1" s="225"/>
      <c r="B1" s="225"/>
      <c r="C1" s="225"/>
      <c r="D1" s="226"/>
      <c r="E1" s="227"/>
      <c r="F1" s="226"/>
      <c r="G1" s="227"/>
      <c r="H1" s="227"/>
      <c r="I1" s="225"/>
    </row>
    <row r="2" spans="1:13" ht="16.5" thickBot="1" x14ac:dyDescent="0.3">
      <c r="A2" s="225"/>
      <c r="B2" s="225"/>
      <c r="C2" s="225"/>
      <c r="D2" s="814" t="s">
        <v>572</v>
      </c>
      <c r="E2" s="815"/>
      <c r="F2" s="816"/>
      <c r="G2" s="814" t="s">
        <v>573</v>
      </c>
      <c r="H2" s="815"/>
      <c r="I2" s="816"/>
    </row>
    <row r="3" spans="1:13" x14ac:dyDescent="0.25">
      <c r="A3" s="225"/>
      <c r="B3" s="225"/>
      <c r="C3" s="225"/>
      <c r="D3" s="228"/>
      <c r="E3" s="228"/>
      <c r="F3" s="225"/>
      <c r="G3" s="225"/>
      <c r="H3" s="225"/>
      <c r="I3" s="225"/>
    </row>
    <row r="4" spans="1:13" ht="31.5" x14ac:dyDescent="0.25">
      <c r="A4" s="225"/>
      <c r="B4" s="225"/>
      <c r="C4" s="225"/>
      <c r="D4" s="524" t="str">
        <f>'[1]1) RF par produit'!D5</f>
        <v>PNUD
(budget en USD)</v>
      </c>
      <c r="E4" s="524" t="str">
        <f>'[1]1) RF par produit'!E5</f>
        <v>MSIS-tatao
(budget en USD)</v>
      </c>
      <c r="F4" s="230" t="s">
        <v>574</v>
      </c>
      <c r="G4" s="230" t="s">
        <v>575</v>
      </c>
      <c r="H4" s="230" t="s">
        <v>576</v>
      </c>
      <c r="I4" s="230" t="s">
        <v>577</v>
      </c>
      <c r="M4" s="486"/>
    </row>
    <row r="5" spans="1:13" ht="26.25" customHeight="1" x14ac:dyDescent="0.25">
      <c r="A5" s="225"/>
      <c r="B5" s="797" t="s">
        <v>578</v>
      </c>
      <c r="C5" s="797"/>
      <c r="D5" s="797"/>
      <c r="E5" s="797"/>
      <c r="F5" s="797"/>
      <c r="G5" s="797"/>
      <c r="H5" s="797"/>
      <c r="I5" s="797"/>
      <c r="K5" s="488"/>
      <c r="M5" s="486"/>
    </row>
    <row r="6" spans="1:13" ht="26.25" customHeight="1" x14ac:dyDescent="0.25">
      <c r="A6" s="225"/>
      <c r="B6" s="225"/>
      <c r="C6" s="810" t="s">
        <v>579</v>
      </c>
      <c r="D6" s="811"/>
      <c r="E6" s="811"/>
      <c r="F6" s="811"/>
      <c r="G6" s="811"/>
      <c r="H6" s="811"/>
      <c r="I6" s="812"/>
      <c r="K6" s="488"/>
    </row>
    <row r="7" spans="1:13" ht="26.25" customHeight="1" thickBot="1" x14ac:dyDescent="0.3">
      <c r="A7" s="225"/>
      <c r="B7" s="225"/>
      <c r="C7" s="231" t="s">
        <v>580</v>
      </c>
      <c r="D7" s="232">
        <f>'[1]1) RF par produit'!D17</f>
        <v>96500</v>
      </c>
      <c r="E7" s="232">
        <f>'[1]1) RF par produit'!E17</f>
        <v>15000</v>
      </c>
      <c r="F7" s="233">
        <f>SUM(D7+E7)</f>
        <v>111500</v>
      </c>
      <c r="G7" s="234">
        <f>G15</f>
        <v>9169.9</v>
      </c>
      <c r="H7" s="234">
        <f>H15</f>
        <v>6527.0324657901801</v>
      </c>
      <c r="I7" s="234">
        <f>I15</f>
        <v>15696.93246579018</v>
      </c>
      <c r="K7" s="488"/>
    </row>
    <row r="8" spans="1:13" ht="42.75" customHeight="1" x14ac:dyDescent="0.25">
      <c r="A8" s="225"/>
      <c r="B8" s="225"/>
      <c r="C8" s="235" t="s">
        <v>581</v>
      </c>
      <c r="D8" s="236"/>
      <c r="E8" s="319"/>
      <c r="F8" s="233">
        <f t="shared" ref="F8:F15" si="0">SUM(D8+E8)</f>
        <v>0</v>
      </c>
      <c r="G8" s="237"/>
      <c r="H8" s="320"/>
      <c r="I8" s="237">
        <f t="shared" ref="I8:I14" si="1">SUM(G8:H8)</f>
        <v>0</v>
      </c>
      <c r="K8" s="488"/>
    </row>
    <row r="9" spans="1:13" ht="33" customHeight="1" x14ac:dyDescent="0.25">
      <c r="A9" s="225"/>
      <c r="B9" s="225"/>
      <c r="C9" s="238" t="s">
        <v>582</v>
      </c>
      <c r="D9" s="505">
        <f>D7*3%</f>
        <v>2895</v>
      </c>
      <c r="E9" s="483">
        <f>E7*15%</f>
        <v>2250</v>
      </c>
      <c r="F9" s="233">
        <f t="shared" si="0"/>
        <v>5145</v>
      </c>
      <c r="G9" s="237"/>
      <c r="H9" s="237">
        <v>268.31231553528306</v>
      </c>
      <c r="I9" s="237">
        <f t="shared" si="1"/>
        <v>268.31231553528306</v>
      </c>
      <c r="J9" s="317"/>
      <c r="K9" s="488"/>
    </row>
    <row r="10" spans="1:13" s="313" customFormat="1" ht="33" customHeight="1" x14ac:dyDescent="0.25">
      <c r="A10" s="309"/>
      <c r="B10" s="309"/>
      <c r="C10" s="238" t="s">
        <v>583</v>
      </c>
      <c r="D10" s="310"/>
      <c r="E10" s="484">
        <f>E7*25%</f>
        <v>3750</v>
      </c>
      <c r="F10" s="311">
        <f t="shared" si="0"/>
        <v>3750</v>
      </c>
      <c r="G10" s="312"/>
      <c r="H10" s="312">
        <v>2632.2108934800108</v>
      </c>
      <c r="I10" s="312">
        <f t="shared" si="1"/>
        <v>2632.2108934800108</v>
      </c>
      <c r="J10" s="485"/>
      <c r="K10" s="517"/>
      <c r="L10" s="1"/>
    </row>
    <row r="11" spans="1:13" ht="33" customHeight="1" x14ac:dyDescent="0.25">
      <c r="A11" s="225"/>
      <c r="B11" s="225"/>
      <c r="C11" s="240" t="s">
        <v>584</v>
      </c>
      <c r="D11" s="505">
        <f>D7*5%</f>
        <v>4825</v>
      </c>
      <c r="E11" s="483">
        <f>E7*60%</f>
        <v>9000</v>
      </c>
      <c r="F11" s="233">
        <f t="shared" si="0"/>
        <v>13825</v>
      </c>
      <c r="G11" s="237"/>
      <c r="H11" s="237">
        <v>3626.5092567748861</v>
      </c>
      <c r="I11" s="237">
        <f t="shared" si="1"/>
        <v>3626.5092567748861</v>
      </c>
      <c r="K11" s="488"/>
    </row>
    <row r="12" spans="1:13" ht="33" customHeight="1" x14ac:dyDescent="0.25">
      <c r="A12" s="225"/>
      <c r="B12" s="225"/>
      <c r="C12" s="238" t="s">
        <v>585</v>
      </c>
      <c r="D12" s="505">
        <f>D7*5%</f>
        <v>4825</v>
      </c>
      <c r="E12" s="483"/>
      <c r="F12" s="233">
        <f t="shared" si="0"/>
        <v>4825</v>
      </c>
      <c r="G12" s="237"/>
      <c r="I12" s="237">
        <f t="shared" si="1"/>
        <v>0</v>
      </c>
      <c r="J12" s="306"/>
      <c r="K12" s="488"/>
    </row>
    <row r="13" spans="1:13" ht="33" customHeight="1" x14ac:dyDescent="0.25">
      <c r="A13" s="225"/>
      <c r="B13" s="225"/>
      <c r="C13" s="238" t="s">
        <v>586</v>
      </c>
      <c r="D13" s="505">
        <f>D7*85%</f>
        <v>82025</v>
      </c>
      <c r="E13" s="239"/>
      <c r="F13" s="233">
        <f t="shared" si="0"/>
        <v>82025</v>
      </c>
      <c r="G13" s="520">
        <v>9169.9</v>
      </c>
      <c r="H13" s="237"/>
      <c r="I13" s="237">
        <f t="shared" si="1"/>
        <v>9169.9</v>
      </c>
      <c r="J13" s="486"/>
      <c r="K13" s="488"/>
      <c r="L13" s="486"/>
    </row>
    <row r="14" spans="1:13" ht="33" customHeight="1" x14ac:dyDescent="0.25">
      <c r="A14" s="225"/>
      <c r="B14" s="225"/>
      <c r="C14" s="238" t="s">
        <v>587</v>
      </c>
      <c r="D14" s="505">
        <f>D7*2%</f>
        <v>1930</v>
      </c>
      <c r="E14" s="239"/>
      <c r="F14" s="233">
        <f t="shared" si="0"/>
        <v>1930</v>
      </c>
      <c r="G14" s="237"/>
      <c r="H14" s="237"/>
      <c r="I14" s="237">
        <f t="shared" si="1"/>
        <v>0</v>
      </c>
      <c r="K14" s="488"/>
    </row>
    <row r="15" spans="1:13" ht="33" customHeight="1" x14ac:dyDescent="0.25">
      <c r="A15" s="225"/>
      <c r="B15" s="225"/>
      <c r="C15" s="241" t="s">
        <v>588</v>
      </c>
      <c r="D15" s="242">
        <f>SUM(D8:D14)</f>
        <v>96500</v>
      </c>
      <c r="E15" s="242">
        <f>SUM(E8:E14)</f>
        <v>15000</v>
      </c>
      <c r="F15" s="233">
        <f t="shared" si="0"/>
        <v>111500</v>
      </c>
      <c r="G15" s="322">
        <f>SUM(G8:G14)</f>
        <v>9169.9</v>
      </c>
      <c r="H15" s="322">
        <f>SUM(H8:H14)</f>
        <v>6527.0324657901801</v>
      </c>
      <c r="I15" s="322">
        <f>SUM(I8:I14)</f>
        <v>15696.93246579018</v>
      </c>
      <c r="K15" s="488"/>
    </row>
    <row r="16" spans="1:13" x14ac:dyDescent="0.25">
      <c r="A16" s="243"/>
      <c r="B16" s="243"/>
      <c r="C16" s="243"/>
      <c r="D16" s="244"/>
      <c r="E16" s="244"/>
      <c r="F16" s="245"/>
      <c r="G16" s="243"/>
      <c r="H16" s="243"/>
      <c r="I16" s="243"/>
      <c r="K16" s="488"/>
      <c r="L16" s="25"/>
    </row>
    <row r="17" spans="1:11" ht="30.75" customHeight="1" x14ac:dyDescent="0.25">
      <c r="A17" s="225"/>
      <c r="B17" s="225"/>
      <c r="C17" s="817" t="s">
        <v>589</v>
      </c>
      <c r="D17" s="818"/>
      <c r="E17" s="818"/>
      <c r="F17" s="819"/>
      <c r="G17" s="820"/>
      <c r="H17" s="821"/>
      <c r="I17" s="822"/>
      <c r="K17" s="488"/>
    </row>
    <row r="18" spans="1:11" ht="30.75" customHeight="1" thickBot="1" x14ac:dyDescent="0.3">
      <c r="A18" s="225"/>
      <c r="B18" s="225"/>
      <c r="C18" s="231" t="s">
        <v>590</v>
      </c>
      <c r="D18" s="232">
        <f>'[1]1) RF par produit'!D27</f>
        <v>242000</v>
      </c>
      <c r="E18" s="232">
        <f>'[1]1) RF par produit'!E27</f>
        <v>13000</v>
      </c>
      <c r="F18" s="233">
        <f>D18+E18</f>
        <v>255000</v>
      </c>
      <c r="G18" s="234">
        <f>G26</f>
        <v>0</v>
      </c>
      <c r="H18" s="234">
        <f>H27</f>
        <v>0</v>
      </c>
      <c r="I18" s="234">
        <f>I26</f>
        <v>3552.6723906627312</v>
      </c>
      <c r="K18" s="488"/>
    </row>
    <row r="19" spans="1:11" ht="30.75" customHeight="1" x14ac:dyDescent="0.25">
      <c r="A19" s="225"/>
      <c r="B19" s="225"/>
      <c r="C19" s="235" t="s">
        <v>581</v>
      </c>
      <c r="D19" s="236"/>
      <c r="E19" s="236"/>
      <c r="F19" s="233">
        <f t="shared" ref="F19:F26" si="2">D19+E19</f>
        <v>0</v>
      </c>
      <c r="G19" s="246"/>
      <c r="H19" s="246"/>
      <c r="I19" s="246">
        <f>SUM(G19:H19)</f>
        <v>0</v>
      </c>
      <c r="K19" s="488"/>
    </row>
    <row r="20" spans="1:11" ht="30.75" customHeight="1" x14ac:dyDescent="0.25">
      <c r="A20" s="225"/>
      <c r="B20" s="225"/>
      <c r="C20" s="238" t="s">
        <v>582</v>
      </c>
      <c r="D20" s="239"/>
      <c r="E20" s="239">
        <f>E18*15%</f>
        <v>1950</v>
      </c>
      <c r="F20" s="233">
        <f t="shared" si="2"/>
        <v>1950</v>
      </c>
      <c r="G20" s="246"/>
      <c r="H20" s="246">
        <v>0</v>
      </c>
      <c r="I20" s="246">
        <f t="shared" ref="I20:I25" si="3">SUM(G20:H20)</f>
        <v>0</v>
      </c>
      <c r="K20" s="488"/>
    </row>
    <row r="21" spans="1:11" ht="30.75" customHeight="1" x14ac:dyDescent="0.25">
      <c r="A21" s="225"/>
      <c r="B21" s="225"/>
      <c r="C21" s="238" t="s">
        <v>583</v>
      </c>
      <c r="D21" s="505">
        <f>D18*2%</f>
        <v>4840</v>
      </c>
      <c r="E21" s="239">
        <f>E18*15%</f>
        <v>1950</v>
      </c>
      <c r="F21" s="233">
        <f t="shared" si="2"/>
        <v>6790</v>
      </c>
      <c r="G21" s="246"/>
      <c r="H21" s="237">
        <v>1974.7786423396833</v>
      </c>
      <c r="I21" s="316">
        <f t="shared" si="3"/>
        <v>1974.7786423396833</v>
      </c>
      <c r="J21" s="485"/>
      <c r="K21" s="488"/>
    </row>
    <row r="22" spans="1:11" ht="30.75" customHeight="1" x14ac:dyDescent="0.25">
      <c r="A22" s="225"/>
      <c r="B22" s="225"/>
      <c r="C22" s="240" t="s">
        <v>584</v>
      </c>
      <c r="D22" s="505">
        <v>29040</v>
      </c>
      <c r="E22" s="239">
        <f>E18*55%</f>
        <v>7150.0000000000009</v>
      </c>
      <c r="F22" s="233">
        <f t="shared" si="2"/>
        <v>36190</v>
      </c>
      <c r="G22" s="246"/>
      <c r="H22" s="246">
        <v>0</v>
      </c>
      <c r="I22" s="316">
        <f t="shared" si="3"/>
        <v>0</v>
      </c>
      <c r="K22" s="488"/>
    </row>
    <row r="23" spans="1:11" ht="30.75" customHeight="1" x14ac:dyDescent="0.25">
      <c r="A23" s="225"/>
      <c r="B23" s="225"/>
      <c r="C23" s="238" t="s">
        <v>585</v>
      </c>
      <c r="D23" s="505">
        <f>D18*4%</f>
        <v>9680</v>
      </c>
      <c r="E23" s="239">
        <f>E18*15%</f>
        <v>1950</v>
      </c>
      <c r="F23" s="233">
        <f t="shared" si="2"/>
        <v>11630</v>
      </c>
      <c r="G23" s="246"/>
      <c r="H23" s="237">
        <v>1577.8937483230479</v>
      </c>
      <c r="I23" s="316">
        <f>SUM(G23:H23)</f>
        <v>1577.8937483230479</v>
      </c>
      <c r="K23" s="488"/>
    </row>
    <row r="24" spans="1:11" ht="30.75" customHeight="1" x14ac:dyDescent="0.25">
      <c r="A24" s="225"/>
      <c r="B24" s="225"/>
      <c r="C24" s="238" t="s">
        <v>586</v>
      </c>
      <c r="D24" s="505">
        <f>D18*80%</f>
        <v>193600</v>
      </c>
      <c r="E24" s="239"/>
      <c r="F24" s="233">
        <f t="shared" si="2"/>
        <v>193600</v>
      </c>
      <c r="G24" s="519"/>
      <c r="H24" s="246">
        <v>0</v>
      </c>
      <c r="I24" s="246">
        <f t="shared" si="3"/>
        <v>0</v>
      </c>
      <c r="K24" s="488"/>
    </row>
    <row r="25" spans="1:11" ht="30.75" customHeight="1" x14ac:dyDescent="0.25">
      <c r="A25" s="225"/>
      <c r="B25" s="225"/>
      <c r="C25" s="238" t="s">
        <v>587</v>
      </c>
      <c r="D25" s="505">
        <f>D18*2%</f>
        <v>4840</v>
      </c>
      <c r="E25" s="239"/>
      <c r="F25" s="233">
        <f t="shared" si="2"/>
        <v>4840</v>
      </c>
      <c r="G25" s="246"/>
      <c r="H25" s="246">
        <v>0</v>
      </c>
      <c r="I25" s="246">
        <f t="shared" si="3"/>
        <v>0</v>
      </c>
      <c r="K25" s="488"/>
    </row>
    <row r="26" spans="1:11" ht="30.75" customHeight="1" x14ac:dyDescent="0.25">
      <c r="A26" s="225"/>
      <c r="B26" s="225"/>
      <c r="C26" s="241" t="s">
        <v>588</v>
      </c>
      <c r="D26" s="242">
        <f>SUM(D19:D25)</f>
        <v>242000</v>
      </c>
      <c r="E26" s="242">
        <f>SUM(E19:E25)</f>
        <v>13000</v>
      </c>
      <c r="F26" s="233">
        <f t="shared" si="2"/>
        <v>255000</v>
      </c>
      <c r="G26" s="322">
        <f>SUM(G19:G25)</f>
        <v>0</v>
      </c>
      <c r="H26" s="322">
        <f>SUM(H19:H25)</f>
        <v>3552.6723906627312</v>
      </c>
      <c r="I26" s="322">
        <f>SUM(I19:I25)</f>
        <v>3552.6723906627312</v>
      </c>
      <c r="K26" s="488"/>
    </row>
    <row r="27" spans="1:11" ht="21.75" customHeight="1" x14ac:dyDescent="0.25">
      <c r="A27" s="243"/>
      <c r="B27" s="488"/>
      <c r="C27" s="488"/>
      <c r="D27" s="488"/>
      <c r="E27" s="488"/>
      <c r="F27" s="488"/>
      <c r="G27" s="488"/>
      <c r="H27" s="488"/>
      <c r="I27" s="488"/>
      <c r="K27" s="488"/>
    </row>
    <row r="28" spans="1:11" ht="22.5" customHeight="1" x14ac:dyDescent="0.25">
      <c r="A28" s="225"/>
      <c r="B28" s="797" t="s">
        <v>591</v>
      </c>
      <c r="C28" s="797"/>
      <c r="D28" s="797"/>
      <c r="E28" s="797"/>
      <c r="F28" s="797"/>
      <c r="G28" s="797"/>
      <c r="H28" s="797"/>
      <c r="I28" s="797"/>
      <c r="K28" s="488"/>
    </row>
    <row r="29" spans="1:11" ht="22.5" customHeight="1" x14ac:dyDescent="0.25">
      <c r="A29" s="225"/>
      <c r="B29" s="225"/>
      <c r="C29" s="810" t="s">
        <v>355</v>
      </c>
      <c r="D29" s="811"/>
      <c r="E29" s="811"/>
      <c r="F29" s="812"/>
      <c r="G29" s="252"/>
      <c r="H29" s="252"/>
      <c r="I29" s="252"/>
      <c r="K29" s="488"/>
    </row>
    <row r="30" spans="1:11" ht="22.5" customHeight="1" thickBot="1" x14ac:dyDescent="0.3">
      <c r="A30" s="225"/>
      <c r="B30" s="225"/>
      <c r="C30" s="231" t="s">
        <v>592</v>
      </c>
      <c r="D30" s="232">
        <f>'[1]1) RF par produit'!D59</f>
        <v>72000</v>
      </c>
      <c r="E30" s="232">
        <f>'[1]1) RF par produit'!E59</f>
        <v>4000</v>
      </c>
      <c r="F30" s="251">
        <f t="shared" ref="F30:F38" si="4">SUM(D30:E30)</f>
        <v>76000</v>
      </c>
      <c r="G30" s="234">
        <f>G38</f>
        <v>50589.07</v>
      </c>
      <c r="H30" s="234">
        <f>H38</f>
        <v>0</v>
      </c>
      <c r="I30" s="234">
        <f>I38</f>
        <v>50589.07</v>
      </c>
      <c r="K30" s="488"/>
    </row>
    <row r="31" spans="1:11" ht="35.25" customHeight="1" x14ac:dyDescent="0.25">
      <c r="A31" s="225"/>
      <c r="B31" s="225"/>
      <c r="C31" s="235" t="s">
        <v>581</v>
      </c>
      <c r="D31" s="236"/>
      <c r="E31" s="236"/>
      <c r="F31" s="253">
        <f t="shared" si="4"/>
        <v>0</v>
      </c>
      <c r="G31" s="237"/>
      <c r="H31" s="246"/>
      <c r="I31" s="237">
        <f>G31+H31</f>
        <v>0</v>
      </c>
      <c r="K31" s="488"/>
    </row>
    <row r="32" spans="1:11" ht="35.25" customHeight="1" x14ac:dyDescent="0.25">
      <c r="A32" s="225"/>
      <c r="B32" s="225"/>
      <c r="C32" s="238" t="s">
        <v>582</v>
      </c>
      <c r="D32" s="239"/>
      <c r="E32" s="239"/>
      <c r="F32" s="233">
        <f t="shared" si="4"/>
        <v>0</v>
      </c>
      <c r="G32" s="237"/>
      <c r="H32" s="246">
        <v>0</v>
      </c>
      <c r="I32" s="237">
        <f t="shared" ref="I32:I37" si="5">G32+H32</f>
        <v>0</v>
      </c>
      <c r="K32" s="488"/>
    </row>
    <row r="33" spans="1:12" ht="35.25" customHeight="1" x14ac:dyDescent="0.25">
      <c r="A33" s="225"/>
      <c r="B33" s="225"/>
      <c r="C33" s="238" t="s">
        <v>583</v>
      </c>
      <c r="D33" s="239"/>
      <c r="E33" s="239"/>
      <c r="F33" s="233">
        <f t="shared" si="4"/>
        <v>0</v>
      </c>
      <c r="G33" s="237"/>
      <c r="H33" s="246">
        <v>0</v>
      </c>
      <c r="I33" s="237">
        <f t="shared" si="5"/>
        <v>0</v>
      </c>
      <c r="K33" s="488"/>
    </row>
    <row r="34" spans="1:12" ht="35.25" customHeight="1" x14ac:dyDescent="0.25">
      <c r="A34" s="225"/>
      <c r="B34" s="225"/>
      <c r="C34" s="240" t="s">
        <v>584</v>
      </c>
      <c r="D34" s="239"/>
      <c r="E34" s="239">
        <f>E30*100%</f>
        <v>4000</v>
      </c>
      <c r="F34" s="233">
        <f t="shared" si="4"/>
        <v>4000</v>
      </c>
      <c r="G34" s="237"/>
      <c r="H34" s="246">
        <v>0</v>
      </c>
      <c r="I34" s="237">
        <f t="shared" si="5"/>
        <v>0</v>
      </c>
      <c r="K34" s="488"/>
    </row>
    <row r="35" spans="1:12" ht="35.25" customHeight="1" x14ac:dyDescent="0.25">
      <c r="A35" s="225"/>
      <c r="B35" s="225"/>
      <c r="C35" s="238" t="s">
        <v>585</v>
      </c>
      <c r="D35" s="239"/>
      <c r="E35" s="239"/>
      <c r="F35" s="233">
        <f t="shared" si="4"/>
        <v>0</v>
      </c>
      <c r="G35" s="237"/>
      <c r="H35" s="246">
        <v>0</v>
      </c>
      <c r="I35" s="237">
        <f t="shared" si="5"/>
        <v>0</v>
      </c>
      <c r="K35" s="488"/>
    </row>
    <row r="36" spans="1:12" ht="35.25" customHeight="1" x14ac:dyDescent="0.25">
      <c r="A36" s="243"/>
      <c r="B36" s="225"/>
      <c r="C36" s="238" t="s">
        <v>586</v>
      </c>
      <c r="D36" s="505">
        <f>D30</f>
        <v>72000</v>
      </c>
      <c r="E36" s="239"/>
      <c r="F36" s="233">
        <f t="shared" si="4"/>
        <v>72000</v>
      </c>
      <c r="G36" s="520">
        <v>50589.07</v>
      </c>
      <c r="H36" s="246">
        <v>0</v>
      </c>
      <c r="I36" s="237">
        <f t="shared" si="5"/>
        <v>50589.07</v>
      </c>
      <c r="J36" s="486"/>
      <c r="K36" s="488"/>
      <c r="L36" s="516"/>
    </row>
    <row r="37" spans="1:12" ht="35.25" customHeight="1" x14ac:dyDescent="0.25">
      <c r="A37" s="243"/>
      <c r="B37" s="225"/>
      <c r="C37" s="238" t="s">
        <v>587</v>
      </c>
      <c r="D37" s="239"/>
      <c r="E37" s="239"/>
      <c r="F37" s="233">
        <f t="shared" si="4"/>
        <v>0</v>
      </c>
      <c r="G37" s="237"/>
      <c r="H37" s="246">
        <v>0</v>
      </c>
      <c r="I37" s="237">
        <f t="shared" si="5"/>
        <v>0</v>
      </c>
      <c r="K37" s="488"/>
      <c r="L37" s="516"/>
    </row>
    <row r="38" spans="1:12" ht="27" customHeight="1" x14ac:dyDescent="0.25">
      <c r="A38" s="225"/>
      <c r="B38" s="225"/>
      <c r="C38" s="241" t="s">
        <v>588</v>
      </c>
      <c r="D38" s="242">
        <f>SUM(D31:D37)</f>
        <v>72000</v>
      </c>
      <c r="E38" s="242">
        <f>SUM(E31:E37)</f>
        <v>4000</v>
      </c>
      <c r="F38" s="233">
        <f t="shared" si="4"/>
        <v>76000</v>
      </c>
      <c r="G38" s="322">
        <f>SUM(G31:G37)</f>
        <v>50589.07</v>
      </c>
      <c r="H38" s="322">
        <f>SUM(H31:H37)</f>
        <v>0</v>
      </c>
      <c r="I38" s="322">
        <f>SUM(I31:I37)</f>
        <v>50589.07</v>
      </c>
      <c r="K38" s="488"/>
      <c r="L38" s="516"/>
    </row>
    <row r="39" spans="1:12" ht="22.5" customHeight="1" x14ac:dyDescent="0.25">
      <c r="A39" s="243"/>
      <c r="B39" s="243"/>
      <c r="C39" s="243"/>
      <c r="D39" s="247"/>
      <c r="E39" s="247"/>
      <c r="F39" s="254"/>
      <c r="G39" s="243"/>
      <c r="H39" s="243"/>
      <c r="I39" s="243"/>
      <c r="K39" s="488"/>
    </row>
    <row r="40" spans="1:12" ht="37.5" customHeight="1" x14ac:dyDescent="0.25">
      <c r="A40" s="225"/>
      <c r="B40" s="243"/>
      <c r="C40" s="797" t="s">
        <v>358</v>
      </c>
      <c r="D40" s="797"/>
      <c r="E40" s="797"/>
      <c r="F40" s="797"/>
      <c r="G40" s="797"/>
      <c r="H40" s="797"/>
      <c r="I40" s="797"/>
      <c r="K40" s="488"/>
    </row>
    <row r="41" spans="1:12" ht="37.5" customHeight="1" thickBot="1" x14ac:dyDescent="0.3">
      <c r="A41" s="225"/>
      <c r="B41" s="225"/>
      <c r="C41" s="248" t="s">
        <v>593</v>
      </c>
      <c r="D41" s="249">
        <f>'[1]1) RF par produit'!D69</f>
        <v>13000</v>
      </c>
      <c r="E41" s="249">
        <f>'[1]1) RF par produit'!E69</f>
        <v>147000</v>
      </c>
      <c r="F41" s="250">
        <f t="shared" ref="F41:F49" si="6">SUM(D41:E41)</f>
        <v>160000</v>
      </c>
      <c r="G41" s="234">
        <f>G49</f>
        <v>0</v>
      </c>
      <c r="H41" s="234">
        <f>H49</f>
        <v>6149.2712637510058</v>
      </c>
      <c r="I41" s="234">
        <f>I49</f>
        <v>6149.2712637510058</v>
      </c>
      <c r="J41" s="27"/>
      <c r="K41" s="488"/>
    </row>
    <row r="42" spans="1:12" ht="37.5" customHeight="1" x14ac:dyDescent="0.25">
      <c r="A42" s="225"/>
      <c r="B42" s="225"/>
      <c r="C42" s="235" t="s">
        <v>581</v>
      </c>
      <c r="D42" s="236"/>
      <c r="E42" s="319"/>
      <c r="F42" s="253">
        <f t="shared" si="6"/>
        <v>0</v>
      </c>
      <c r="G42" s="246"/>
      <c r="H42" s="321"/>
      <c r="I42" s="246">
        <f>G42+H42</f>
        <v>0</v>
      </c>
      <c r="K42" s="488"/>
    </row>
    <row r="43" spans="1:12" ht="37.5" customHeight="1" x14ac:dyDescent="0.25">
      <c r="A43" s="225"/>
      <c r="B43" s="225"/>
      <c r="C43" s="238" t="s">
        <v>582</v>
      </c>
      <c r="D43" s="239"/>
      <c r="E43" s="239">
        <f>E41*3%</f>
        <v>4410</v>
      </c>
      <c r="F43" s="233">
        <f t="shared" si="6"/>
        <v>4410</v>
      </c>
      <c r="G43" s="246"/>
      <c r="H43" s="316">
        <v>0</v>
      </c>
      <c r="I43" s="246">
        <f t="shared" ref="I43:I48" si="7">G43+H43</f>
        <v>0</v>
      </c>
      <c r="K43" s="488"/>
    </row>
    <row r="44" spans="1:12" ht="37.5" customHeight="1" x14ac:dyDescent="0.25">
      <c r="A44" s="225"/>
      <c r="B44" s="225"/>
      <c r="C44" s="238" t="s">
        <v>583</v>
      </c>
      <c r="D44" s="239"/>
      <c r="E44" s="239">
        <f>E41*6%</f>
        <v>8820</v>
      </c>
      <c r="F44" s="233">
        <f t="shared" si="6"/>
        <v>8820</v>
      </c>
      <c r="G44" s="246"/>
      <c r="H44" s="316">
        <v>6149.2712637510058</v>
      </c>
      <c r="I44" s="327">
        <f t="shared" si="7"/>
        <v>6149.2712637510058</v>
      </c>
      <c r="J44" s="486"/>
      <c r="K44" s="488"/>
    </row>
    <row r="45" spans="1:12" ht="37.5" customHeight="1" x14ac:dyDescent="0.25">
      <c r="A45" s="225"/>
      <c r="B45" s="225"/>
      <c r="C45" s="240" t="s">
        <v>584</v>
      </c>
      <c r="D45" s="239"/>
      <c r="E45" s="239">
        <f>E41*8%</f>
        <v>11760</v>
      </c>
      <c r="F45" s="233">
        <f t="shared" si="6"/>
        <v>11760</v>
      </c>
      <c r="G45" s="246"/>
      <c r="H45" s="316">
        <v>0</v>
      </c>
      <c r="I45" s="246">
        <f t="shared" si="7"/>
        <v>0</v>
      </c>
      <c r="K45" s="488"/>
    </row>
    <row r="46" spans="1:12" ht="37.5" customHeight="1" x14ac:dyDescent="0.25">
      <c r="A46" s="225"/>
      <c r="B46" s="225"/>
      <c r="C46" s="238" t="s">
        <v>585</v>
      </c>
      <c r="D46" s="239"/>
      <c r="E46" s="239">
        <f>E41*5%</f>
        <v>7350</v>
      </c>
      <c r="F46" s="233">
        <f t="shared" si="6"/>
        <v>7350</v>
      </c>
      <c r="G46" s="246"/>
      <c r="H46" s="316">
        <v>0</v>
      </c>
      <c r="I46" s="246">
        <f t="shared" si="7"/>
        <v>0</v>
      </c>
      <c r="K46" s="488"/>
    </row>
    <row r="47" spans="1:12" ht="37.5" customHeight="1" x14ac:dyDescent="0.25">
      <c r="A47" s="225"/>
      <c r="B47" s="225"/>
      <c r="C47" s="238" t="s">
        <v>586</v>
      </c>
      <c r="D47" s="505">
        <f>D41</f>
        <v>13000</v>
      </c>
      <c r="E47" s="239">
        <f>E41*76%</f>
        <v>111720</v>
      </c>
      <c r="F47" s="233">
        <f t="shared" si="6"/>
        <v>124720</v>
      </c>
      <c r="G47" s="246"/>
      <c r="H47" s="316">
        <v>0</v>
      </c>
      <c r="I47" s="246">
        <f t="shared" si="7"/>
        <v>0</v>
      </c>
      <c r="K47" s="488"/>
    </row>
    <row r="48" spans="1:12" ht="37.5" customHeight="1" x14ac:dyDescent="0.25">
      <c r="A48" s="225"/>
      <c r="B48" s="225"/>
      <c r="C48" s="238" t="s">
        <v>587</v>
      </c>
      <c r="D48" s="239"/>
      <c r="E48" s="239">
        <f>E41*2%</f>
        <v>2940</v>
      </c>
      <c r="F48" s="233">
        <f t="shared" si="6"/>
        <v>2940</v>
      </c>
      <c r="G48" s="246"/>
      <c r="H48" s="316">
        <v>0</v>
      </c>
      <c r="I48" s="246">
        <f t="shared" si="7"/>
        <v>0</v>
      </c>
      <c r="K48" s="488"/>
    </row>
    <row r="49" spans="1:12" ht="37.5" customHeight="1" x14ac:dyDescent="0.25">
      <c r="A49" s="225"/>
      <c r="B49" s="225"/>
      <c r="C49" s="241" t="s">
        <v>588</v>
      </c>
      <c r="D49" s="242">
        <f>SUM(D42:D48)</f>
        <v>13000</v>
      </c>
      <c r="E49" s="242">
        <f>SUM(E42:E48)</f>
        <v>147000</v>
      </c>
      <c r="F49" s="233">
        <f t="shared" si="6"/>
        <v>160000</v>
      </c>
      <c r="G49" s="322">
        <f>SUM(G42:G48)</f>
        <v>0</v>
      </c>
      <c r="H49" s="322">
        <f>SUM(H42:H48)</f>
        <v>6149.2712637510058</v>
      </c>
      <c r="I49" s="322">
        <f>SUM(I42:I48)</f>
        <v>6149.2712637510058</v>
      </c>
      <c r="J49" s="27"/>
      <c r="K49" s="488"/>
    </row>
    <row r="50" spans="1:12" x14ac:dyDescent="0.25">
      <c r="A50" s="243"/>
      <c r="B50" s="243"/>
      <c r="C50" s="243"/>
      <c r="D50" s="244"/>
      <c r="E50" s="244"/>
      <c r="F50" s="255"/>
      <c r="G50" s="243"/>
      <c r="H50" s="243"/>
      <c r="I50" s="243"/>
      <c r="K50" s="488"/>
    </row>
    <row r="51" spans="1:12" x14ac:dyDescent="0.25">
      <c r="A51" s="225"/>
      <c r="B51" s="225"/>
      <c r="C51" s="225"/>
      <c r="D51" s="225"/>
      <c r="E51" s="225"/>
      <c r="F51" s="225"/>
      <c r="G51" s="225"/>
      <c r="H51" s="225"/>
      <c r="I51" s="225"/>
      <c r="K51" s="488"/>
    </row>
    <row r="52" spans="1:12" ht="37.5" customHeight="1" x14ac:dyDescent="0.25">
      <c r="A52" s="225"/>
      <c r="B52" s="813" t="s">
        <v>594</v>
      </c>
      <c r="C52" s="813"/>
      <c r="D52" s="813"/>
      <c r="E52" s="813"/>
      <c r="F52" s="813"/>
      <c r="G52" s="813"/>
      <c r="H52" s="813"/>
      <c r="I52" s="813"/>
      <c r="K52" s="488"/>
    </row>
    <row r="53" spans="1:12" ht="37.5" customHeight="1" x14ac:dyDescent="0.25">
      <c r="A53" s="225"/>
      <c r="B53" s="225"/>
      <c r="C53" s="797" t="s">
        <v>364</v>
      </c>
      <c r="D53" s="797"/>
      <c r="E53" s="797"/>
      <c r="F53" s="797"/>
      <c r="G53" s="797"/>
      <c r="H53" s="797"/>
      <c r="I53" s="797"/>
      <c r="K53" s="488"/>
    </row>
    <row r="54" spans="1:12" ht="37.5" customHeight="1" thickBot="1" x14ac:dyDescent="0.3">
      <c r="A54" s="225"/>
      <c r="B54" s="225"/>
      <c r="C54" s="231" t="s">
        <v>595</v>
      </c>
      <c r="D54" s="232">
        <f>'[1]1) RF par produit'!D101</f>
        <v>152500</v>
      </c>
      <c r="E54" s="232">
        <f>'[1]1) RF par produit'!E101</f>
        <v>11000</v>
      </c>
      <c r="F54" s="251">
        <f t="shared" ref="F54:F62" si="8">SUM(D54:E54)</f>
        <v>163500</v>
      </c>
      <c r="G54" s="526">
        <f>G62</f>
        <v>8340.65</v>
      </c>
      <c r="H54" s="256">
        <f>H62</f>
        <v>0</v>
      </c>
      <c r="I54" s="526">
        <f>I62</f>
        <v>8340.65</v>
      </c>
      <c r="K54" s="488"/>
    </row>
    <row r="55" spans="1:12" ht="37.5" customHeight="1" x14ac:dyDescent="0.25">
      <c r="A55" s="225"/>
      <c r="B55" s="225"/>
      <c r="C55" s="235" t="s">
        <v>581</v>
      </c>
      <c r="D55" s="236"/>
      <c r="E55" s="236"/>
      <c r="F55" s="253">
        <f t="shared" si="8"/>
        <v>0</v>
      </c>
      <c r="G55" s="246"/>
      <c r="H55" s="246"/>
      <c r="I55" s="316">
        <f>G55+H55</f>
        <v>0</v>
      </c>
      <c r="K55" s="488"/>
    </row>
    <row r="56" spans="1:12" ht="37.5" customHeight="1" x14ac:dyDescent="0.25">
      <c r="A56" s="225"/>
      <c r="B56" s="225"/>
      <c r="C56" s="238" t="s">
        <v>582</v>
      </c>
      <c r="D56" s="239"/>
      <c r="E56" s="239">
        <f>E54*20%</f>
        <v>2200</v>
      </c>
      <c r="F56" s="233">
        <f t="shared" si="8"/>
        <v>2200</v>
      </c>
      <c r="G56" s="246"/>
      <c r="H56" s="246">
        <v>0</v>
      </c>
      <c r="I56" s="316">
        <f t="shared" ref="I56:I61" si="9">G56+H56</f>
        <v>0</v>
      </c>
      <c r="K56" s="488"/>
    </row>
    <row r="57" spans="1:12" ht="37.5" customHeight="1" x14ac:dyDescent="0.25">
      <c r="A57" s="225"/>
      <c r="B57" s="225"/>
      <c r="C57" s="238" t="s">
        <v>583</v>
      </c>
      <c r="D57" s="505">
        <f>D54*10%</f>
        <v>15250</v>
      </c>
      <c r="E57" s="239"/>
      <c r="F57" s="233">
        <f t="shared" si="8"/>
        <v>15250</v>
      </c>
      <c r="G57" s="246"/>
      <c r="H57" s="246">
        <v>0</v>
      </c>
      <c r="I57" s="316">
        <f t="shared" si="9"/>
        <v>0</v>
      </c>
      <c r="K57" s="488"/>
    </row>
    <row r="58" spans="1:12" ht="37.5" customHeight="1" x14ac:dyDescent="0.25">
      <c r="A58" s="225"/>
      <c r="B58" s="225"/>
      <c r="C58" s="240" t="s">
        <v>584</v>
      </c>
      <c r="D58" s="505">
        <v>38125</v>
      </c>
      <c r="E58" s="239">
        <f>E54*40%</f>
        <v>4400</v>
      </c>
      <c r="F58" s="233">
        <f t="shared" si="8"/>
        <v>42525</v>
      </c>
      <c r="G58" s="246"/>
      <c r="H58" s="246">
        <v>0</v>
      </c>
      <c r="I58" s="316">
        <f t="shared" si="9"/>
        <v>0</v>
      </c>
      <c r="K58" s="488"/>
    </row>
    <row r="59" spans="1:12" ht="37.5" customHeight="1" x14ac:dyDescent="0.25">
      <c r="A59" s="225"/>
      <c r="B59" s="225"/>
      <c r="C59" s="238" t="s">
        <v>585</v>
      </c>
      <c r="D59" s="505">
        <v>5000</v>
      </c>
      <c r="E59" s="239">
        <f>E54*40%</f>
        <v>4400</v>
      </c>
      <c r="F59" s="233">
        <f t="shared" si="8"/>
        <v>9400</v>
      </c>
      <c r="G59" s="246"/>
      <c r="H59" s="246">
        <v>0</v>
      </c>
      <c r="I59" s="316">
        <f t="shared" si="9"/>
        <v>0</v>
      </c>
      <c r="K59" s="488"/>
    </row>
    <row r="60" spans="1:12" ht="37.5" customHeight="1" x14ac:dyDescent="0.25">
      <c r="A60" s="225"/>
      <c r="B60" s="225"/>
      <c r="C60" s="238" t="s">
        <v>586</v>
      </c>
      <c r="D60" s="505">
        <f>D54*45%</f>
        <v>68625</v>
      </c>
      <c r="E60" s="239"/>
      <c r="F60" s="233">
        <f t="shared" si="8"/>
        <v>68625</v>
      </c>
      <c r="G60" s="527">
        <v>8340.65</v>
      </c>
      <c r="H60" s="246">
        <v>0</v>
      </c>
      <c r="I60" s="316">
        <f t="shared" si="9"/>
        <v>8340.65</v>
      </c>
      <c r="J60" s="486"/>
      <c r="K60" s="488"/>
      <c r="L60" s="516"/>
    </row>
    <row r="61" spans="1:12" ht="37.5" customHeight="1" x14ac:dyDescent="0.25">
      <c r="A61" s="225"/>
      <c r="B61" s="225"/>
      <c r="C61" s="238" t="s">
        <v>587</v>
      </c>
      <c r="D61" s="505">
        <v>25500</v>
      </c>
      <c r="E61" s="239"/>
      <c r="F61" s="233">
        <f t="shared" si="8"/>
        <v>25500</v>
      </c>
      <c r="G61" s="246"/>
      <c r="H61" s="246">
        <v>0</v>
      </c>
      <c r="I61" s="316">
        <f t="shared" si="9"/>
        <v>0</v>
      </c>
      <c r="K61" s="488"/>
    </row>
    <row r="62" spans="1:12" ht="37.5" customHeight="1" x14ac:dyDescent="0.25">
      <c r="A62" s="225"/>
      <c r="B62" s="225"/>
      <c r="C62" s="241" t="s">
        <v>588</v>
      </c>
      <c r="D62" s="242">
        <f>SUM(D55:D61)</f>
        <v>152500</v>
      </c>
      <c r="E62" s="242">
        <f>SUM(E55:E61)</f>
        <v>11000</v>
      </c>
      <c r="F62" s="233">
        <f t="shared" si="8"/>
        <v>163500</v>
      </c>
      <c r="G62" s="316">
        <f>SUM(G55:G61)</f>
        <v>8340.65</v>
      </c>
      <c r="H62" s="246">
        <f>SUM(H55:H61)</f>
        <v>0</v>
      </c>
      <c r="I62" s="316">
        <f>SUM(I55:I61)</f>
        <v>8340.65</v>
      </c>
      <c r="K62" s="488"/>
    </row>
    <row r="63" spans="1:12" x14ac:dyDescent="0.25">
      <c r="A63" s="243"/>
      <c r="B63" s="243"/>
      <c r="C63" s="243"/>
      <c r="D63" s="247"/>
      <c r="E63" s="247"/>
      <c r="F63" s="254"/>
      <c r="G63" s="243"/>
      <c r="H63" s="243"/>
      <c r="I63" s="243"/>
      <c r="K63" s="488"/>
    </row>
    <row r="64" spans="1:12" ht="33" customHeight="1" x14ac:dyDescent="0.25">
      <c r="A64" s="225"/>
      <c r="B64" s="225"/>
      <c r="C64" s="797" t="s">
        <v>596</v>
      </c>
      <c r="D64" s="797"/>
      <c r="E64" s="797"/>
      <c r="F64" s="797"/>
      <c r="G64" s="797"/>
      <c r="H64" s="797"/>
      <c r="I64" s="797"/>
      <c r="K64" s="488"/>
    </row>
    <row r="65" spans="1:12" ht="33" customHeight="1" thickBot="1" x14ac:dyDescent="0.3">
      <c r="A65" s="225"/>
      <c r="B65" s="225"/>
      <c r="C65" s="248" t="s">
        <v>597</v>
      </c>
      <c r="D65" s="249">
        <f>'[1]1) RF par produit'!D111</f>
        <v>255869.15887850453</v>
      </c>
      <c r="E65" s="249">
        <f>'[1]1) RF par produit'!E111</f>
        <v>5000</v>
      </c>
      <c r="F65" s="250">
        <f t="shared" ref="F65:F73" si="10">SUM(D65:E65)</f>
        <v>260869.15887850453</v>
      </c>
      <c r="G65" s="252">
        <f>G73</f>
        <v>0</v>
      </c>
      <c r="H65" s="252">
        <f>H73</f>
        <v>0</v>
      </c>
      <c r="I65" s="252">
        <f>I73</f>
        <v>0</v>
      </c>
      <c r="K65" s="488"/>
    </row>
    <row r="66" spans="1:12" ht="33" customHeight="1" x14ac:dyDescent="0.25">
      <c r="A66" s="225"/>
      <c r="B66" s="225"/>
      <c r="C66" s="235" t="s">
        <v>581</v>
      </c>
      <c r="D66" s="236"/>
      <c r="E66" s="236"/>
      <c r="F66" s="253">
        <f t="shared" si="10"/>
        <v>0</v>
      </c>
      <c r="G66" s="246"/>
      <c r="H66" s="246"/>
      <c r="I66" s="246">
        <f>G66+H66</f>
        <v>0</v>
      </c>
      <c r="K66" s="488"/>
    </row>
    <row r="67" spans="1:12" ht="33" customHeight="1" x14ac:dyDescent="0.25">
      <c r="A67" s="225"/>
      <c r="B67" s="225"/>
      <c r="C67" s="238" t="s">
        <v>582</v>
      </c>
      <c r="D67" s="505">
        <f>D65*1%</f>
        <v>2558.6915887850455</v>
      </c>
      <c r="E67" s="239">
        <f>E65*20%</f>
        <v>1000</v>
      </c>
      <c r="F67" s="233">
        <f t="shared" si="10"/>
        <v>3558.6915887850455</v>
      </c>
      <c r="G67" s="246"/>
      <c r="H67" s="246">
        <v>0</v>
      </c>
      <c r="I67" s="246">
        <f t="shared" ref="I67:I72" si="11">G67+H67</f>
        <v>0</v>
      </c>
      <c r="K67" s="488"/>
    </row>
    <row r="68" spans="1:12" ht="33" customHeight="1" x14ac:dyDescent="0.25">
      <c r="A68" s="225"/>
      <c r="B68" s="225"/>
      <c r="C68" s="238" t="s">
        <v>583</v>
      </c>
      <c r="D68" s="505"/>
      <c r="E68" s="239"/>
      <c r="F68" s="233">
        <f t="shared" si="10"/>
        <v>0</v>
      </c>
      <c r="G68" s="246"/>
      <c r="H68" s="246">
        <v>0</v>
      </c>
      <c r="I68" s="246">
        <f t="shared" si="11"/>
        <v>0</v>
      </c>
      <c r="K68" s="488"/>
    </row>
    <row r="69" spans="1:12" ht="33" customHeight="1" x14ac:dyDescent="0.25">
      <c r="A69" s="225"/>
      <c r="B69" s="225"/>
      <c r="C69" s="240" t="s">
        <v>584</v>
      </c>
      <c r="D69" s="505">
        <f>D65*6%</f>
        <v>15352.149532710271</v>
      </c>
      <c r="E69" s="239">
        <f>E65*50%</f>
        <v>2500</v>
      </c>
      <c r="F69" s="233">
        <f t="shared" si="10"/>
        <v>17852.149532710271</v>
      </c>
      <c r="G69" s="246"/>
      <c r="H69" s="246">
        <v>0</v>
      </c>
      <c r="I69" s="246">
        <f t="shared" si="11"/>
        <v>0</v>
      </c>
      <c r="K69" s="488"/>
    </row>
    <row r="70" spans="1:12" ht="33" customHeight="1" x14ac:dyDescent="0.25">
      <c r="A70" s="225"/>
      <c r="B70" s="225"/>
      <c r="C70" s="238" t="s">
        <v>585</v>
      </c>
      <c r="D70" s="505">
        <f>D65*3%</f>
        <v>7676.0747663551356</v>
      </c>
      <c r="E70" s="239">
        <f>E65*30%</f>
        <v>1500</v>
      </c>
      <c r="F70" s="233">
        <f t="shared" si="10"/>
        <v>9176.0747663551356</v>
      </c>
      <c r="G70" s="246"/>
      <c r="H70" s="246">
        <v>0</v>
      </c>
      <c r="I70" s="246">
        <f t="shared" si="11"/>
        <v>0</v>
      </c>
      <c r="K70" s="488"/>
    </row>
    <row r="71" spans="1:12" ht="33" customHeight="1" x14ac:dyDescent="0.25">
      <c r="A71" s="225"/>
      <c r="B71" s="225"/>
      <c r="C71" s="238" t="s">
        <v>586</v>
      </c>
      <c r="D71" s="505">
        <f>D65*90%</f>
        <v>230282.24299065408</v>
      </c>
      <c r="E71" s="239"/>
      <c r="F71" s="233">
        <f t="shared" si="10"/>
        <v>230282.24299065408</v>
      </c>
      <c r="G71" s="246"/>
      <c r="H71" s="246">
        <v>0</v>
      </c>
      <c r="I71" s="246">
        <f t="shared" si="11"/>
        <v>0</v>
      </c>
      <c r="K71" s="488"/>
    </row>
    <row r="72" spans="1:12" ht="33" customHeight="1" x14ac:dyDescent="0.25">
      <c r="A72" s="225"/>
      <c r="B72" s="225"/>
      <c r="C72" s="238" t="s">
        <v>587</v>
      </c>
      <c r="D72" s="239"/>
      <c r="E72" s="239"/>
      <c r="F72" s="233">
        <f t="shared" si="10"/>
        <v>0</v>
      </c>
      <c r="G72" s="246"/>
      <c r="H72" s="246">
        <v>0</v>
      </c>
      <c r="I72" s="246">
        <f t="shared" si="11"/>
        <v>0</v>
      </c>
      <c r="K72" s="488"/>
    </row>
    <row r="73" spans="1:12" ht="33" customHeight="1" x14ac:dyDescent="0.25">
      <c r="A73" s="225"/>
      <c r="B73" s="225"/>
      <c r="C73" s="241" t="s">
        <v>588</v>
      </c>
      <c r="D73" s="242">
        <f>SUM(D66:D72)</f>
        <v>255869.15887850453</v>
      </c>
      <c r="E73" s="242">
        <f>SUM(E66:E72)</f>
        <v>5000</v>
      </c>
      <c r="F73" s="233">
        <f t="shared" si="10"/>
        <v>260869.15887850453</v>
      </c>
      <c r="G73" s="246">
        <f>SUM(G66:G72)</f>
        <v>0</v>
      </c>
      <c r="H73" s="246">
        <f>SUM(H66:H72)</f>
        <v>0</v>
      </c>
      <c r="I73" s="246">
        <f>SUM(I66:I72)</f>
        <v>0</v>
      </c>
      <c r="K73" s="488"/>
    </row>
    <row r="74" spans="1:12" x14ac:dyDescent="0.25">
      <c r="A74" s="225"/>
      <c r="B74" s="225"/>
      <c r="C74" s="488"/>
      <c r="D74" s="27"/>
      <c r="E74" s="488"/>
      <c r="F74" s="27"/>
      <c r="G74" s="488"/>
      <c r="H74" s="27"/>
      <c r="I74" s="488"/>
      <c r="K74" s="488"/>
    </row>
    <row r="75" spans="1:12" ht="31.5" customHeight="1" x14ac:dyDescent="0.25">
      <c r="A75" s="225"/>
      <c r="B75" s="225"/>
      <c r="C75" s="798" t="s">
        <v>598</v>
      </c>
      <c r="D75" s="798"/>
      <c r="E75" s="798"/>
      <c r="F75" s="798"/>
      <c r="G75" s="798"/>
      <c r="H75" s="798"/>
      <c r="I75" s="798"/>
      <c r="K75" s="488"/>
    </row>
    <row r="76" spans="1:12" ht="31.5" customHeight="1" thickBot="1" x14ac:dyDescent="0.3">
      <c r="A76" s="225"/>
      <c r="B76" s="225"/>
      <c r="C76" s="248" t="s">
        <v>599</v>
      </c>
      <c r="D76" s="249">
        <f>'[1]1) RF par produit'!D180</f>
        <v>289626.16822429909</v>
      </c>
      <c r="E76" s="249">
        <f>'[1]1) RF par produit'!E180</f>
        <v>85373.831775700906</v>
      </c>
      <c r="F76" s="250">
        <f t="shared" ref="F76:F84" si="12">SUM(D76:E76)</f>
        <v>375000</v>
      </c>
      <c r="G76" s="234">
        <f>G84</f>
        <v>62427.95</v>
      </c>
      <c r="H76" s="234">
        <f>H84</f>
        <v>37277.299009927556</v>
      </c>
      <c r="I76" s="234">
        <f>I84</f>
        <v>99705.249009927546</v>
      </c>
      <c r="K76" s="488"/>
    </row>
    <row r="77" spans="1:12" ht="31.5" customHeight="1" x14ac:dyDescent="0.25">
      <c r="A77" s="225"/>
      <c r="B77" s="225"/>
      <c r="C77" s="235" t="s">
        <v>581</v>
      </c>
      <c r="D77" s="504">
        <f>'[1]1) RF par produit'!D176</f>
        <v>30000</v>
      </c>
      <c r="E77" s="236">
        <f>'[1]1) RF par produit'!E176</f>
        <v>45000</v>
      </c>
      <c r="F77" s="253">
        <f t="shared" si="12"/>
        <v>75000</v>
      </c>
      <c r="G77" s="237">
        <v>2686.43</v>
      </c>
      <c r="H77" s="237">
        <v>15300</v>
      </c>
      <c r="I77" s="237">
        <f>G77+H77</f>
        <v>17986.43</v>
      </c>
      <c r="K77" s="488"/>
    </row>
    <row r="78" spans="1:12" ht="31.5" customHeight="1" x14ac:dyDescent="0.25">
      <c r="A78" s="225"/>
      <c r="B78" s="225"/>
      <c r="C78" s="238" t="s">
        <v>582</v>
      </c>
      <c r="D78" s="505"/>
      <c r="E78" s="239">
        <f>(E$76-E$77)*5%</f>
        <v>2018.6915887850455</v>
      </c>
      <c r="F78" s="233">
        <f t="shared" si="12"/>
        <v>2018.6915887850455</v>
      </c>
      <c r="G78" s="491">
        <v>118.21</v>
      </c>
      <c r="H78" s="237">
        <v>0</v>
      </c>
      <c r="I78" s="237">
        <f t="shared" ref="I78:I83" si="13">G78+H78</f>
        <v>118.21</v>
      </c>
      <c r="K78" s="488"/>
    </row>
    <row r="79" spans="1:12" ht="31.5" customHeight="1" x14ac:dyDescent="0.25">
      <c r="A79" s="225"/>
      <c r="B79" s="225"/>
      <c r="C79" s="238" t="s">
        <v>583</v>
      </c>
      <c r="D79" s="505">
        <f>(D$76-D$77)*8%</f>
        <v>20770.093457943927</v>
      </c>
      <c r="E79" s="239">
        <f>(E$76-E$77)*48%</f>
        <v>19379.439252336433</v>
      </c>
      <c r="F79" s="233">
        <f t="shared" si="12"/>
        <v>40149.532710280357</v>
      </c>
      <c r="G79" s="491">
        <v>4716.87</v>
      </c>
      <c r="H79" s="237">
        <v>9951.8647705929689</v>
      </c>
      <c r="I79" s="237">
        <f t="shared" si="13"/>
        <v>14668.734770592968</v>
      </c>
      <c r="K79" s="488"/>
    </row>
    <row r="80" spans="1:12" ht="31.5" customHeight="1" x14ac:dyDescent="0.25">
      <c r="A80" s="225"/>
      <c r="B80" s="225"/>
      <c r="C80" s="240" t="s">
        <v>584</v>
      </c>
      <c r="D80" s="505">
        <f>(D$76-D$77)*74%</f>
        <v>192123.36448598132</v>
      </c>
      <c r="E80" s="239">
        <f>(E$76-E$77)*15%</f>
        <v>6056.0747663551356</v>
      </c>
      <c r="F80" s="233">
        <f t="shared" si="12"/>
        <v>198179.43925233645</v>
      </c>
      <c r="G80" s="491">
        <v>44252.7</v>
      </c>
      <c r="H80" s="237">
        <v>5059.5884330560775</v>
      </c>
      <c r="I80" s="237">
        <f t="shared" si="13"/>
        <v>49312.288433056077</v>
      </c>
      <c r="K80" s="488"/>
      <c r="L80" s="307"/>
    </row>
    <row r="81" spans="1:12" ht="31.5" customHeight="1" x14ac:dyDescent="0.25">
      <c r="A81" s="225"/>
      <c r="B81" s="225"/>
      <c r="C81" s="238" t="s">
        <v>585</v>
      </c>
      <c r="D81" s="505">
        <f>(D$76-D$77)*9%</f>
        <v>23366.355140186919</v>
      </c>
      <c r="E81" s="239">
        <f>(E$76-E$77)*10%</f>
        <v>4037.383177570091</v>
      </c>
      <c r="F81" s="233">
        <f t="shared" si="12"/>
        <v>27403.738317757008</v>
      </c>
      <c r="G81" s="491">
        <v>8160.53</v>
      </c>
      <c r="H81" s="237">
        <v>829.78266702441636</v>
      </c>
      <c r="I81" s="237">
        <f t="shared" si="13"/>
        <v>8990.3126670244164</v>
      </c>
      <c r="K81" s="488"/>
      <c r="L81" s="516"/>
    </row>
    <row r="82" spans="1:12" ht="31.5" customHeight="1" x14ac:dyDescent="0.25">
      <c r="A82" s="225"/>
      <c r="B82" s="225"/>
      <c r="C82" s="238" t="s">
        <v>586</v>
      </c>
      <c r="D82" s="521"/>
      <c r="E82" s="239"/>
      <c r="F82" s="233">
        <f t="shared" si="12"/>
        <v>0</v>
      </c>
      <c r="G82" s="522"/>
      <c r="H82" s="520"/>
      <c r="I82" s="520">
        <f t="shared" si="13"/>
        <v>0</v>
      </c>
      <c r="J82" s="488"/>
      <c r="K82" s="488"/>
      <c r="L82" s="518"/>
    </row>
    <row r="83" spans="1:12" ht="36.75" customHeight="1" x14ac:dyDescent="0.25">
      <c r="A83" s="225"/>
      <c r="B83" s="225"/>
      <c r="C83" s="238" t="s">
        <v>587</v>
      </c>
      <c r="D83" s="505">
        <f>(D$76-D$77)*9%</f>
        <v>23366.355140186919</v>
      </c>
      <c r="E83" s="239">
        <f>(E$76-E$77)*22%</f>
        <v>8882.2429906542002</v>
      </c>
      <c r="F83" s="233">
        <f t="shared" si="12"/>
        <v>32248.598130841121</v>
      </c>
      <c r="G83" s="492">
        <v>2493.21</v>
      </c>
      <c r="H83" s="237">
        <v>6136.0631392540918</v>
      </c>
      <c r="I83" s="237">
        <f t="shared" si="13"/>
        <v>8629.2731392540918</v>
      </c>
      <c r="J83" s="523"/>
    </row>
    <row r="84" spans="1:12" ht="35.25" customHeight="1" x14ac:dyDescent="0.25">
      <c r="A84" s="225"/>
      <c r="B84" s="225"/>
      <c r="C84" s="241" t="s">
        <v>588</v>
      </c>
      <c r="D84" s="242">
        <f>SUM(D77:D83)</f>
        <v>289626.16822429909</v>
      </c>
      <c r="E84" s="242">
        <f>SUM(E77:E83)</f>
        <v>85373.831775700906</v>
      </c>
      <c r="F84" s="233">
        <f t="shared" si="12"/>
        <v>375000</v>
      </c>
      <c r="G84" s="322">
        <f>SUM(G77:G83)</f>
        <v>62427.95</v>
      </c>
      <c r="H84" s="322">
        <f>SUM(H77:H83)</f>
        <v>37277.299009927556</v>
      </c>
      <c r="I84" s="322">
        <f>SUM(I77:I83)</f>
        <v>99705.249009927546</v>
      </c>
    </row>
    <row r="85" spans="1:12" ht="31.5" customHeight="1" thickBot="1" x14ac:dyDescent="0.3">
      <c r="A85" s="225"/>
      <c r="B85" s="225"/>
      <c r="C85" s="525"/>
      <c r="D85" s="525"/>
      <c r="E85" s="525"/>
      <c r="F85" s="525"/>
      <c r="G85" s="525"/>
      <c r="H85" s="525"/>
      <c r="I85" s="525"/>
    </row>
    <row r="86" spans="1:12" x14ac:dyDescent="0.25">
      <c r="A86" s="225"/>
      <c r="B86" s="225"/>
      <c r="C86" s="303"/>
      <c r="D86" s="304"/>
      <c r="E86" s="802" t="s">
        <v>811</v>
      </c>
      <c r="F86" s="803"/>
      <c r="G86" s="803"/>
      <c r="H86" s="804"/>
      <c r="I86" s="302"/>
    </row>
    <row r="87" spans="1:12" ht="16.5" thickBot="1" x14ac:dyDescent="0.3">
      <c r="A87" s="225"/>
      <c r="B87" s="225"/>
      <c r="C87" s="303"/>
      <c r="D87" s="304"/>
      <c r="E87" s="805"/>
      <c r="F87" s="806"/>
      <c r="G87" s="806"/>
      <c r="H87" s="807"/>
      <c r="I87" s="302"/>
    </row>
    <row r="88" spans="1:12" ht="30.75" customHeight="1" thickBot="1" x14ac:dyDescent="0.3">
      <c r="A88" s="225"/>
      <c r="B88" s="225"/>
      <c r="C88" s="305"/>
      <c r="D88" s="305"/>
      <c r="E88" s="305"/>
      <c r="F88" s="808" t="s">
        <v>616</v>
      </c>
      <c r="G88" s="809"/>
      <c r="H88" s="225"/>
      <c r="I88" s="225"/>
    </row>
    <row r="89" spans="1:12" x14ac:dyDescent="0.25">
      <c r="A89" s="225"/>
      <c r="B89" s="225"/>
      <c r="C89" s="799" t="s">
        <v>391</v>
      </c>
      <c r="D89" s="800"/>
      <c r="E89" s="800"/>
      <c r="F89" s="800"/>
      <c r="G89" s="800"/>
      <c r="H89" s="800"/>
      <c r="I89" s="801"/>
    </row>
    <row r="90" spans="1:12" ht="31.5" x14ac:dyDescent="0.25">
      <c r="A90" s="225"/>
      <c r="B90" s="225"/>
      <c r="C90" s="257"/>
      <c r="D90" s="229" t="str">
        <f>'[1]1) RF par produit'!D5</f>
        <v>PNUD
(budget en USD)</v>
      </c>
      <c r="E90" s="229" t="str">
        <f>'[1]1) RF par produit'!E5</f>
        <v>MSIS-tatao
(budget en USD)</v>
      </c>
      <c r="F90" s="258" t="s">
        <v>391</v>
      </c>
      <c r="G90" s="230" t="s">
        <v>575</v>
      </c>
      <c r="H90" s="230" t="s">
        <v>576</v>
      </c>
      <c r="I90" s="230" t="s">
        <v>577</v>
      </c>
    </row>
    <row r="91" spans="1:12" ht="45" customHeight="1" x14ac:dyDescent="0.25">
      <c r="A91" s="225"/>
      <c r="B91" s="225"/>
      <c r="C91" s="259" t="s">
        <v>581</v>
      </c>
      <c r="D91" s="507">
        <f t="shared" ref="D91:E97" si="14">SUM(D66,D55,D42,D31,D19,D8,D77)</f>
        <v>30000</v>
      </c>
      <c r="E91" s="234">
        <f t="shared" si="14"/>
        <v>45000</v>
      </c>
      <c r="F91" s="233">
        <f t="shared" ref="F91:F98" si="15">SUM(D91:E91)</f>
        <v>75000</v>
      </c>
      <c r="G91" s="237">
        <v>2686.43</v>
      </c>
      <c r="H91" s="326">
        <f>+H77</f>
        <v>15300</v>
      </c>
      <c r="I91" s="316">
        <f>G91+H91</f>
        <v>17986.43</v>
      </c>
      <c r="J91" s="488"/>
    </row>
    <row r="92" spans="1:12" ht="45" customHeight="1" x14ac:dyDescent="0.25">
      <c r="A92" s="225"/>
      <c r="B92" s="225"/>
      <c r="C92" s="260" t="s">
        <v>582</v>
      </c>
      <c r="D92" s="506">
        <f t="shared" si="14"/>
        <v>5453.6915887850455</v>
      </c>
      <c r="E92" s="261">
        <f t="shared" si="14"/>
        <v>13828.691588785045</v>
      </c>
      <c r="F92" s="262">
        <f t="shared" si="15"/>
        <v>19282.383177570089</v>
      </c>
      <c r="G92" s="491">
        <v>118.21</v>
      </c>
      <c r="H92" s="326">
        <f>+H78+H67+H56+H43+H32+H20+H9</f>
        <v>268.31231553528306</v>
      </c>
      <c r="I92" s="316">
        <f t="shared" ref="I92:I99" si="16">G92+H92</f>
        <v>386.52231553528304</v>
      </c>
      <c r="J92" s="488"/>
    </row>
    <row r="93" spans="1:12" ht="45" customHeight="1" x14ac:dyDescent="0.25">
      <c r="A93" s="225"/>
      <c r="B93" s="225"/>
      <c r="C93" s="260" t="s">
        <v>583</v>
      </c>
      <c r="D93" s="506">
        <f t="shared" si="14"/>
        <v>40860.093457943927</v>
      </c>
      <c r="E93" s="261">
        <f t="shared" si="14"/>
        <v>33899.439252336437</v>
      </c>
      <c r="F93" s="262">
        <f t="shared" si="15"/>
        <v>74759.532710280357</v>
      </c>
      <c r="G93" s="491">
        <v>4716.87</v>
      </c>
      <c r="H93" s="326">
        <f>+H79+H68+H57+H44+H33+H21+H10</f>
        <v>20708.125570163669</v>
      </c>
      <c r="I93" s="316">
        <f t="shared" si="16"/>
        <v>25424.995570163668</v>
      </c>
      <c r="J93" s="488"/>
    </row>
    <row r="94" spans="1:12" ht="45" customHeight="1" x14ac:dyDescent="0.25">
      <c r="A94" s="225"/>
      <c r="B94" s="225"/>
      <c r="C94" s="263" t="s">
        <v>584</v>
      </c>
      <c r="D94" s="506">
        <f t="shared" si="14"/>
        <v>279465.51401869161</v>
      </c>
      <c r="E94" s="261">
        <f t="shared" si="14"/>
        <v>44866.074766355137</v>
      </c>
      <c r="F94" s="262">
        <f t="shared" si="15"/>
        <v>324331.58878504677</v>
      </c>
      <c r="G94" s="491">
        <v>44252.7</v>
      </c>
      <c r="H94" s="326">
        <f>+H80+H69+H58+H45+H34+H22+H11</f>
        <v>8686.0976898309636</v>
      </c>
      <c r="I94" s="316">
        <f t="shared" si="16"/>
        <v>52938.797689830957</v>
      </c>
      <c r="J94" s="488"/>
    </row>
    <row r="95" spans="1:12" ht="45" customHeight="1" x14ac:dyDescent="0.25">
      <c r="A95" s="225"/>
      <c r="B95" s="225"/>
      <c r="C95" s="260" t="s">
        <v>585</v>
      </c>
      <c r="D95" s="506">
        <f t="shared" si="14"/>
        <v>50547.429906542056</v>
      </c>
      <c r="E95" s="261">
        <f t="shared" si="14"/>
        <v>19237.383177570089</v>
      </c>
      <c r="F95" s="262">
        <f t="shared" si="15"/>
        <v>69784.813084112146</v>
      </c>
      <c r="G95" s="491">
        <v>8160.53</v>
      </c>
      <c r="H95" s="326">
        <f>+H81+H70+H59+H46+H35+H12+H23</f>
        <v>2407.6764153474642</v>
      </c>
      <c r="I95" s="316">
        <f t="shared" si="16"/>
        <v>10568.206415347464</v>
      </c>
      <c r="J95" s="488"/>
    </row>
    <row r="96" spans="1:12" ht="45" customHeight="1" x14ac:dyDescent="0.25">
      <c r="A96" s="225"/>
      <c r="B96" s="225"/>
      <c r="C96" s="260" t="s">
        <v>586</v>
      </c>
      <c r="D96" s="506">
        <f t="shared" si="14"/>
        <v>659532.24299065408</v>
      </c>
      <c r="E96" s="261">
        <f t="shared" si="14"/>
        <v>111720</v>
      </c>
      <c r="F96" s="262">
        <f t="shared" si="15"/>
        <v>771252.24299065408</v>
      </c>
      <c r="G96" s="491">
        <v>68099.62</v>
      </c>
      <c r="H96" s="326">
        <f>+H82+H71+H60+H47+H36+H24+H13</f>
        <v>0</v>
      </c>
      <c r="I96" s="316">
        <f t="shared" si="16"/>
        <v>68099.62</v>
      </c>
      <c r="J96" s="488"/>
    </row>
    <row r="97" spans="1:12" ht="45" customHeight="1" x14ac:dyDescent="0.25">
      <c r="A97" s="225"/>
      <c r="B97" s="225"/>
      <c r="C97" s="260" t="s">
        <v>587</v>
      </c>
      <c r="D97" s="507">
        <f t="shared" si="14"/>
        <v>55636.355140186919</v>
      </c>
      <c r="E97" s="234">
        <f t="shared" si="14"/>
        <v>11822.2429906542</v>
      </c>
      <c r="F97" s="262">
        <f t="shared" si="15"/>
        <v>67458.598130841114</v>
      </c>
      <c r="G97" s="492">
        <v>2493.21</v>
      </c>
      <c r="H97" s="237">
        <f>+H83+H72+H61+H48+H37+H25+H14</f>
        <v>6136.0631392540918</v>
      </c>
      <c r="I97" s="316">
        <f t="shared" si="16"/>
        <v>8629.2731392540918</v>
      </c>
      <c r="J97" s="488"/>
    </row>
    <row r="98" spans="1:12" ht="45" customHeight="1" x14ac:dyDescent="0.25">
      <c r="A98" s="225"/>
      <c r="B98" s="225"/>
      <c r="C98" s="314" t="s">
        <v>383</v>
      </c>
      <c r="D98" s="264">
        <f>SUM(D91:D97)</f>
        <v>1121495.3271028036</v>
      </c>
      <c r="E98" s="264">
        <f>SUM(E91:E97)</f>
        <v>280373.83177570091</v>
      </c>
      <c r="F98" s="265">
        <f t="shared" si="15"/>
        <v>1401869.1588785045</v>
      </c>
      <c r="G98" s="315">
        <f>SUM(G91:G97)</f>
        <v>130527.56999999999</v>
      </c>
      <c r="H98" s="315">
        <f>SUM(H91:H97)</f>
        <v>53506.275130131464</v>
      </c>
      <c r="I98" s="315">
        <f t="shared" ref="I98" si="17">SUM(I91:I97)</f>
        <v>184033.84513013146</v>
      </c>
      <c r="J98" s="488"/>
      <c r="K98" s="317"/>
    </row>
    <row r="99" spans="1:12" ht="45" customHeight="1" thickBot="1" x14ac:dyDescent="0.3">
      <c r="A99" s="225"/>
      <c r="B99" s="225"/>
      <c r="C99" s="266" t="s">
        <v>384</v>
      </c>
      <c r="D99" s="267">
        <f>D98*0.07</f>
        <v>78504.672897196258</v>
      </c>
      <c r="E99" s="267">
        <f>E98*0.07</f>
        <v>19626.168224299065</v>
      </c>
      <c r="F99" s="268">
        <f>F98*0.07</f>
        <v>98130.841121495323</v>
      </c>
      <c r="G99" s="488">
        <v>8766.1200000000008</v>
      </c>
      <c r="H99" s="269">
        <f>+H98*0.07</f>
        <v>3745.4392591092028</v>
      </c>
      <c r="I99" s="316">
        <f t="shared" si="16"/>
        <v>12511.559259109203</v>
      </c>
      <c r="J99" s="488"/>
      <c r="K99" s="489"/>
    </row>
    <row r="100" spans="1:12" ht="39.75" customHeight="1" thickBot="1" x14ac:dyDescent="0.3">
      <c r="A100" s="225"/>
      <c r="B100" s="225"/>
      <c r="C100" s="270" t="s">
        <v>600</v>
      </c>
      <c r="D100" s="250">
        <f>SUM(D98:D99)</f>
        <v>1200000</v>
      </c>
      <c r="E100" s="250">
        <f>SUM(E98:E99)</f>
        <v>300000</v>
      </c>
      <c r="F100" s="271">
        <f>SUM(F98:F99)</f>
        <v>1499999.9999999998</v>
      </c>
      <c r="G100" s="272">
        <f>G98+G99</f>
        <v>139293.69</v>
      </c>
      <c r="H100" s="272">
        <f>H98+H99</f>
        <v>57251.714389240668</v>
      </c>
      <c r="I100" s="272">
        <f>I98+I99</f>
        <v>196545.40438924066</v>
      </c>
      <c r="J100" s="488"/>
    </row>
    <row r="101" spans="1:12" x14ac:dyDescent="0.25">
      <c r="B101" s="25"/>
      <c r="C101" s="25"/>
      <c r="D101" s="25"/>
    </row>
    <row r="102" spans="1:12" ht="24.75" customHeight="1" x14ac:dyDescent="0.25">
      <c r="B102" s="308"/>
      <c r="C102"/>
      <c r="D102" s="308"/>
      <c r="E102"/>
    </row>
    <row r="103" spans="1:12" ht="28.5" customHeight="1" x14ac:dyDescent="0.25">
      <c r="B103" s="25"/>
      <c r="C103" s="25"/>
      <c r="D103" s="25"/>
      <c r="F103" s="308"/>
      <c r="G103"/>
      <c r="H103" s="308"/>
      <c r="I103"/>
      <c r="J103"/>
      <c r="K103"/>
      <c r="L103"/>
    </row>
    <row r="104" spans="1:12" ht="28.5" customHeight="1" x14ac:dyDescent="0.25">
      <c r="B104"/>
      <c r="C104" s="208"/>
      <c r="D104" s="823" t="s">
        <v>559</v>
      </c>
      <c r="E104" s="823"/>
      <c r="F104"/>
      <c r="G104"/>
      <c r="H104" s="208"/>
      <c r="I104"/>
      <c r="J104"/>
      <c r="K104"/>
      <c r="L104"/>
    </row>
    <row r="105" spans="1:12" ht="23.25" customHeight="1" x14ac:dyDescent="0.25">
      <c r="B105" s="209"/>
      <c r="C105" s="215" t="s">
        <v>558</v>
      </c>
      <c r="D105" s="215" t="s">
        <v>560</v>
      </c>
      <c r="E105" s="216" t="s">
        <v>561</v>
      </c>
      <c r="F105" s="216" t="s">
        <v>506</v>
      </c>
      <c r="G105"/>
      <c r="H105"/>
      <c r="I105"/>
      <c r="J105"/>
      <c r="K105"/>
      <c r="L105"/>
    </row>
    <row r="106" spans="1:12" ht="39.75" customHeight="1" x14ac:dyDescent="0.25">
      <c r="B106" s="210" t="s">
        <v>562</v>
      </c>
      <c r="C106" s="211">
        <v>195000</v>
      </c>
      <c r="D106" s="211">
        <f>H100</f>
        <v>57251.714389240668</v>
      </c>
      <c r="E106" s="212">
        <f>+C106-D106</f>
        <v>137748.28561075934</v>
      </c>
      <c r="F106" s="213">
        <f>D106/C106</f>
        <v>0.2935985353294393</v>
      </c>
      <c r="G106"/>
      <c r="H106"/>
      <c r="I106"/>
      <c r="J106" s="214"/>
      <c r="K106"/>
      <c r="L106"/>
    </row>
    <row r="107" spans="1:12" ht="39.75" customHeight="1" x14ac:dyDescent="0.25">
      <c r="B107" s="210" t="s">
        <v>563</v>
      </c>
      <c r="C107" s="211">
        <f>E100</f>
        <v>300000</v>
      </c>
      <c r="D107" s="211">
        <f>H100</f>
        <v>57251.714389240668</v>
      </c>
      <c r="E107" s="212">
        <f>+C107-D107</f>
        <v>242748.28561075934</v>
      </c>
      <c r="F107" s="213">
        <f>D107/C107</f>
        <v>0.19083904796413556</v>
      </c>
      <c r="G107"/>
      <c r="H107"/>
      <c r="I107"/>
      <c r="J107"/>
      <c r="K107"/>
      <c r="L107"/>
    </row>
    <row r="108" spans="1:12" ht="21.75" customHeight="1" x14ac:dyDescent="0.25">
      <c r="B108"/>
      <c r="C108"/>
      <c r="D108"/>
      <c r="E108"/>
      <c r="F108"/>
      <c r="G108"/>
      <c r="H108"/>
      <c r="I108"/>
      <c r="J108"/>
      <c r="K108"/>
      <c r="L108"/>
    </row>
    <row r="109" spans="1:12" ht="21.75" customHeight="1" x14ac:dyDescent="0.25">
      <c r="B109"/>
      <c r="C109" s="208"/>
      <c r="D109" s="823" t="s">
        <v>564</v>
      </c>
      <c r="E109" s="823"/>
      <c r="F109"/>
      <c r="G109"/>
      <c r="H109"/>
      <c r="I109"/>
      <c r="J109"/>
      <c r="K109"/>
      <c r="L109"/>
    </row>
    <row r="110" spans="1:12" s="27" customFormat="1" ht="23.25" customHeight="1" x14ac:dyDescent="0.25">
      <c r="B110" s="209"/>
      <c r="C110" s="215" t="s">
        <v>558</v>
      </c>
      <c r="D110" s="215" t="s">
        <v>560</v>
      </c>
      <c r="E110" s="216" t="s">
        <v>561</v>
      </c>
      <c r="F110" s="216" t="s">
        <v>506</v>
      </c>
      <c r="G110"/>
      <c r="H110"/>
      <c r="I110"/>
      <c r="J110"/>
      <c r="K110"/>
      <c r="L110"/>
    </row>
    <row r="111" spans="1:12" ht="36" customHeight="1" x14ac:dyDescent="0.25">
      <c r="B111" s="210" t="s">
        <v>562</v>
      </c>
      <c r="C111" s="221">
        <v>780000</v>
      </c>
      <c r="D111" s="211">
        <f>G100</f>
        <v>139293.69</v>
      </c>
      <c r="E111" s="222">
        <f>+C111-D111</f>
        <v>640706.31000000006</v>
      </c>
      <c r="F111" s="213">
        <f>D111/C111</f>
        <v>0.17858165384615385</v>
      </c>
      <c r="G111"/>
      <c r="H111"/>
      <c r="I111"/>
      <c r="J111"/>
      <c r="K111"/>
      <c r="L111"/>
    </row>
    <row r="112" spans="1:12" ht="34.5" customHeight="1" x14ac:dyDescent="0.25">
      <c r="B112" s="210" t="s">
        <v>563</v>
      </c>
      <c r="C112" s="221">
        <f>D100</f>
        <v>1200000</v>
      </c>
      <c r="D112" s="211">
        <f>G100</f>
        <v>139293.69</v>
      </c>
      <c r="E112" s="222">
        <f>+C112-D112</f>
        <v>1060706.31</v>
      </c>
      <c r="F112" s="213">
        <f>D112/C112</f>
        <v>0.116078075</v>
      </c>
      <c r="G112"/>
      <c r="H112"/>
      <c r="I112"/>
      <c r="J112"/>
      <c r="K112"/>
      <c r="L112"/>
    </row>
    <row r="113" spans="2:12" ht="27.75" customHeight="1" x14ac:dyDescent="0.25">
      <c r="B113"/>
      <c r="C113"/>
      <c r="D113"/>
      <c r="E113"/>
      <c r="F113"/>
      <c r="G113"/>
      <c r="H113"/>
      <c r="I113"/>
      <c r="J113"/>
      <c r="K113"/>
      <c r="L113"/>
    </row>
    <row r="114" spans="2:12" ht="29.25" customHeight="1" thickBot="1" x14ac:dyDescent="0.3">
      <c r="B114"/>
      <c r="C114"/>
      <c r="D114" s="823" t="s">
        <v>565</v>
      </c>
      <c r="E114" s="823"/>
      <c r="F114"/>
      <c r="G114"/>
      <c r="H114"/>
      <c r="I114"/>
      <c r="J114"/>
      <c r="K114"/>
      <c r="L114"/>
    </row>
    <row r="115" spans="2:12" ht="24.75" customHeight="1" thickBot="1" x14ac:dyDescent="0.3">
      <c r="B115"/>
      <c r="C115" s="824" t="s">
        <v>508</v>
      </c>
      <c r="D115" s="825"/>
      <c r="E115" s="826"/>
      <c r="F115" s="827" t="s">
        <v>555</v>
      </c>
      <c r="G115" s="828"/>
      <c r="H115" s="829"/>
      <c r="I115" s="830" t="s">
        <v>557</v>
      </c>
      <c r="J115" s="831"/>
      <c r="K115" s="832"/>
      <c r="L115" s="542" t="s">
        <v>566</v>
      </c>
    </row>
    <row r="116" spans="2:12" ht="33" customHeight="1" x14ac:dyDescent="0.25">
      <c r="B116" s="543"/>
      <c r="C116" s="544" t="s">
        <v>558</v>
      </c>
      <c r="D116" s="544" t="s">
        <v>567</v>
      </c>
      <c r="E116" s="545" t="s">
        <v>561</v>
      </c>
      <c r="F116" s="544" t="s">
        <v>558</v>
      </c>
      <c r="G116" s="544" t="s">
        <v>567</v>
      </c>
      <c r="H116" s="545" t="s">
        <v>561</v>
      </c>
      <c r="I116" s="544" t="s">
        <v>558</v>
      </c>
      <c r="J116" s="544" t="s">
        <v>567</v>
      </c>
      <c r="K116" s="545" t="s">
        <v>561</v>
      </c>
      <c r="L116" s="546"/>
    </row>
    <row r="117" spans="2:12" s="313" customFormat="1" ht="69" customHeight="1" x14ac:dyDescent="0.25">
      <c r="B117" s="547" t="s">
        <v>568</v>
      </c>
      <c r="C117" s="318">
        <f>C111</f>
        <v>780000</v>
      </c>
      <c r="D117" s="318">
        <f>D111</f>
        <v>139293.69</v>
      </c>
      <c r="E117" s="493">
        <f>C117-D117</f>
        <v>640706.31000000006</v>
      </c>
      <c r="F117" s="318">
        <f>C106</f>
        <v>195000</v>
      </c>
      <c r="G117" s="318">
        <f>D106</f>
        <v>57251.714389240668</v>
      </c>
      <c r="H117" s="494">
        <f>F117-G117</f>
        <v>137748.28561075934</v>
      </c>
      <c r="I117" s="318">
        <f>C117+F117</f>
        <v>975000</v>
      </c>
      <c r="J117" s="318">
        <f>D117+G117</f>
        <v>196545.40438924066</v>
      </c>
      <c r="K117" s="494">
        <f>I117-J117</f>
        <v>778454.59561075934</v>
      </c>
      <c r="L117" s="548">
        <f>J117/I117</f>
        <v>0.20158503014281093</v>
      </c>
    </row>
    <row r="118" spans="2:12" ht="52.5" customHeight="1" thickBot="1" x14ac:dyDescent="0.3">
      <c r="B118" s="549" t="s">
        <v>569</v>
      </c>
      <c r="C118" s="550">
        <f>C112</f>
        <v>1200000</v>
      </c>
      <c r="D118" s="551">
        <f>D112</f>
        <v>139293.69</v>
      </c>
      <c r="E118" s="552">
        <f>C118-D118</f>
        <v>1060706.31</v>
      </c>
      <c r="F118" s="551">
        <f>C107</f>
        <v>300000</v>
      </c>
      <c r="G118" s="551">
        <f>D107</f>
        <v>57251.714389240668</v>
      </c>
      <c r="H118" s="553">
        <f>F118-G118</f>
        <v>242748.28561075934</v>
      </c>
      <c r="I118" s="550">
        <f>C118+F118</f>
        <v>1500000</v>
      </c>
      <c r="J118" s="551">
        <f>D118+G118</f>
        <v>196545.40438924066</v>
      </c>
      <c r="K118" s="553">
        <f>I118-J118</f>
        <v>1303454.5956107592</v>
      </c>
      <c r="L118" s="554">
        <f>J118/I118</f>
        <v>0.1310302695928271</v>
      </c>
    </row>
    <row r="119" spans="2:12" x14ac:dyDescent="0.25">
      <c r="B119" s="25"/>
      <c r="C119" s="25"/>
      <c r="D119" s="25"/>
      <c r="E119"/>
      <c r="F119"/>
      <c r="G119"/>
      <c r="H119"/>
      <c r="I119"/>
      <c r="J119"/>
      <c r="K119"/>
      <c r="L119"/>
    </row>
    <row r="120" spans="2:12" x14ac:dyDescent="0.25">
      <c r="B120" s="25"/>
      <c r="C120" s="25"/>
      <c r="D120" s="25"/>
      <c r="I120" s="306"/>
    </row>
    <row r="121" spans="2:12" x14ac:dyDescent="0.25">
      <c r="B121" s="25"/>
      <c r="C121" s="306"/>
      <c r="D121" s="25"/>
    </row>
    <row r="122" spans="2:12" x14ac:dyDescent="0.25">
      <c r="B122" s="25"/>
      <c r="C122" s="25"/>
      <c r="D122" s="25"/>
    </row>
    <row r="123" spans="2:12" x14ac:dyDescent="0.25">
      <c r="B123" s="25"/>
      <c r="C123" s="25"/>
      <c r="D123" s="25"/>
    </row>
    <row r="124" spans="2:12" x14ac:dyDescent="0.25">
      <c r="B124" s="25"/>
      <c r="C124" s="25"/>
      <c r="D124" s="25"/>
    </row>
    <row r="125" spans="2:12" x14ac:dyDescent="0.25">
      <c r="B125" s="25"/>
      <c r="C125" s="25"/>
      <c r="D125" s="25"/>
    </row>
    <row r="126" spans="2:12" x14ac:dyDescent="0.25">
      <c r="B126" s="25"/>
      <c r="C126" s="25"/>
      <c r="D126" s="25"/>
    </row>
    <row r="127" spans="2:12" x14ac:dyDescent="0.25">
      <c r="B127" s="25"/>
      <c r="C127" s="25"/>
      <c r="D127" s="25"/>
    </row>
    <row r="128" spans="2:12" x14ac:dyDescent="0.25">
      <c r="B128" s="25"/>
      <c r="C128" s="25"/>
      <c r="D128" s="25"/>
    </row>
    <row r="129" spans="2:4" x14ac:dyDescent="0.25">
      <c r="B129" s="25"/>
      <c r="C129" s="25"/>
      <c r="D129" s="25"/>
    </row>
    <row r="130" spans="2:4" x14ac:dyDescent="0.25">
      <c r="B130" s="25"/>
      <c r="C130" s="25"/>
      <c r="D130" s="25"/>
    </row>
    <row r="131" spans="2:4" x14ac:dyDescent="0.25">
      <c r="B131" s="25"/>
      <c r="C131" s="25"/>
      <c r="D131" s="25"/>
    </row>
    <row r="132" spans="2:4" x14ac:dyDescent="0.25">
      <c r="B132" s="25"/>
      <c r="C132" s="25"/>
      <c r="D132" s="25"/>
    </row>
    <row r="133" spans="2:4" x14ac:dyDescent="0.25">
      <c r="B133" s="25"/>
      <c r="C133" s="25"/>
      <c r="D133" s="25"/>
    </row>
    <row r="134" spans="2:4" x14ac:dyDescent="0.25">
      <c r="B134" s="25"/>
      <c r="C134" s="25"/>
      <c r="D134" s="25"/>
    </row>
  </sheetData>
  <sheetProtection insertColumns="0" insertRows="0" deleteRows="0"/>
  <mergeCells count="22">
    <mergeCell ref="D114:E114"/>
    <mergeCell ref="C115:E115"/>
    <mergeCell ref="F115:H115"/>
    <mergeCell ref="I115:K115"/>
    <mergeCell ref="D104:E104"/>
    <mergeCell ref="D109:E109"/>
    <mergeCell ref="D2:F2"/>
    <mergeCell ref="G2:I2"/>
    <mergeCell ref="B5:I5"/>
    <mergeCell ref="C6:I6"/>
    <mergeCell ref="C17:F17"/>
    <mergeCell ref="G17:I17"/>
    <mergeCell ref="B28:I28"/>
    <mergeCell ref="C29:F29"/>
    <mergeCell ref="C40:I40"/>
    <mergeCell ref="B52:I52"/>
    <mergeCell ref="C53:I53"/>
    <mergeCell ref="C64:I64"/>
    <mergeCell ref="C75:I75"/>
    <mergeCell ref="C89:I89"/>
    <mergeCell ref="E86:H87"/>
    <mergeCell ref="F88:G88"/>
  </mergeCells>
  <conditionalFormatting sqref="F38">
    <cfRule type="cellIs" dxfId="4" priority="13" operator="notEqual">
      <formula>$F$30</formula>
    </cfRule>
  </conditionalFormatting>
  <conditionalFormatting sqref="F49">
    <cfRule type="cellIs" dxfId="3" priority="12" operator="notEqual">
      <formula>$F$41</formula>
    </cfRule>
  </conditionalFormatting>
  <conditionalFormatting sqref="F62">
    <cfRule type="cellIs" dxfId="2" priority="9" operator="notEqual">
      <formula>$F$54</formula>
    </cfRule>
  </conditionalFormatting>
  <conditionalFormatting sqref="F73">
    <cfRule type="cellIs" dxfId="1" priority="8" operator="notEqual">
      <formula>$F$65</formula>
    </cfRule>
  </conditionalFormatting>
  <conditionalFormatting sqref="F84">
    <cfRule type="cellIs" dxfId="0" priority="1" operator="notEqual">
      <formula>$F$76</formula>
    </cfRule>
  </conditionalFormatting>
  <dataValidations xWindow="289" yWindow="724" count="7">
    <dataValidation allowBlank="1" showInputMessage="1" showErrorMessage="1" prompt=" Includes all general operating costs for running an office. Examples include telecommunication, rents, finance charges and other costs which cannot be mapped to other expense categories." sqref="C14 C25 C37 C48 C61 C72 C83 C97" xr:uid="{00000000-0002-0000-04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6 C47 C60 C71 C82 C96" xr:uid="{00000000-0002-0000-0400-000001000000}"/>
    <dataValidation allowBlank="1" showInputMessage="1" showErrorMessage="1" prompt="Services contracted by an organization which follow the normal procurement processes." sqref="C11 C22 C34 C45 C58 C69 C80 C94" xr:uid="{00000000-0002-0000-0400-000002000000}"/>
    <dataValidation allowBlank="1" showInputMessage="1" showErrorMessage="1" prompt="Includes staff and non-staff travel paid for by the organization directly related to a project." sqref="C12 C23 C35 C46 C59 C70 C81 C95" xr:uid="{00000000-0002-0000-04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3 C44 C57 C68 C79 C93" xr:uid="{00000000-0002-0000-04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2 C43 C56 C67 C78 C92" xr:uid="{00000000-0002-0000-0400-000005000000}"/>
    <dataValidation allowBlank="1" showInputMessage="1" showErrorMessage="1" prompt="Includes all related staff and temporary staff costs including base salary, post adjustment and all staff entitlements." sqref="C8 C19 C31 C42 C55 C66 C77 C91" xr:uid="{00000000-0002-0000-0400-000006000000}"/>
  </dataValidations>
  <pageMargins left="0.70866141732283505" right="0.70866141732283505" top="0.74803149606299202" bottom="0.74803149606299202" header="0.31496062992126" footer="0.31496062992126"/>
  <pageSetup scale="49"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4"/>
  <sheetViews>
    <sheetView topLeftCell="A7" workbookViewId="0">
      <selection activeCell="H9" sqref="H9"/>
    </sheetView>
  </sheetViews>
  <sheetFormatPr baseColWidth="10" defaultColWidth="8.85546875" defaultRowHeight="15" x14ac:dyDescent="0.25"/>
  <cols>
    <col min="2" max="2" width="33.7109375" customWidth="1"/>
    <col min="3" max="3" width="23.5703125" customWidth="1"/>
    <col min="4" max="4" width="16.5703125" customWidth="1"/>
    <col min="5" max="5" width="26" customWidth="1"/>
  </cols>
  <sheetData>
    <row r="1" spans="2:6" ht="15.75" thickBot="1" x14ac:dyDescent="0.3">
      <c r="B1" s="273"/>
      <c r="C1" s="273"/>
      <c r="D1" s="273"/>
      <c r="E1" s="273"/>
      <c r="F1" s="273"/>
    </row>
    <row r="2" spans="2:6" ht="15.75" x14ac:dyDescent="0.25">
      <c r="B2" s="833" t="s">
        <v>601</v>
      </c>
      <c r="C2" s="834"/>
      <c r="D2" s="834"/>
      <c r="E2" s="835"/>
      <c r="F2" s="274"/>
    </row>
    <row r="3" spans="2:6" ht="16.5" thickBot="1" x14ac:dyDescent="0.3">
      <c r="B3" s="836"/>
      <c r="C3" s="837"/>
      <c r="D3" s="837"/>
      <c r="E3" s="838"/>
      <c r="F3" s="274"/>
    </row>
    <row r="4" spans="2:6" ht="16.5" thickBot="1" x14ac:dyDescent="0.3">
      <c r="B4" s="274"/>
      <c r="C4" s="274"/>
      <c r="D4" s="274"/>
      <c r="E4" s="274"/>
      <c r="F4" s="274"/>
    </row>
    <row r="5" spans="2:6" ht="16.5" thickBot="1" x14ac:dyDescent="0.3">
      <c r="B5" s="839" t="s">
        <v>602</v>
      </c>
      <c r="C5" s="840"/>
      <c r="D5" s="840"/>
      <c r="E5" s="841"/>
      <c r="F5" s="274"/>
    </row>
    <row r="6" spans="2:6" ht="30.75" customHeight="1" x14ac:dyDescent="0.25">
      <c r="B6" s="257"/>
      <c r="C6" s="275" t="str">
        <f>'[1]1) RF par produit'!D5</f>
        <v>PNUD
(budget en USD)</v>
      </c>
      <c r="D6" s="275" t="str">
        <f>'[1]1) RF par produit'!E5</f>
        <v>MSIS-tatao
(budget en USD)</v>
      </c>
      <c r="E6" s="276" t="s">
        <v>602</v>
      </c>
      <c r="F6" s="274"/>
    </row>
    <row r="7" spans="2:6" ht="30.75" customHeight="1" x14ac:dyDescent="0.25">
      <c r="B7" s="277" t="s">
        <v>603</v>
      </c>
      <c r="C7" s="261">
        <f>'[1]2) RP par categorie budgetaire'!D198</f>
        <v>30000</v>
      </c>
      <c r="D7" s="261">
        <f>'[1]2) RP par categorie budgetaire'!E198</f>
        <v>45000</v>
      </c>
      <c r="E7" s="278">
        <f t="shared" ref="E7:E14" si="0">SUM(C7:D7)</f>
        <v>75000</v>
      </c>
      <c r="F7" s="274"/>
    </row>
    <row r="8" spans="2:6" ht="30.75" customHeight="1" x14ac:dyDescent="0.25">
      <c r="B8" s="277" t="s">
        <v>604</v>
      </c>
      <c r="C8" s="261">
        <f>'[1]2) RP par categorie budgetaire'!D199</f>
        <v>5453.6915887850455</v>
      </c>
      <c r="D8" s="261">
        <f>'[1]2) RP par categorie budgetaire'!E199</f>
        <v>13828.691588785045</v>
      </c>
      <c r="E8" s="279">
        <f t="shared" si="0"/>
        <v>19282.383177570089</v>
      </c>
      <c r="F8" s="274"/>
    </row>
    <row r="9" spans="2:6" ht="30.75" customHeight="1" x14ac:dyDescent="0.25">
      <c r="B9" s="277" t="s">
        <v>605</v>
      </c>
      <c r="C9" s="261">
        <f>'[1]2) RP par categorie budgetaire'!D200</f>
        <v>40860.093457943927</v>
      </c>
      <c r="D9" s="261">
        <f>'[1]2) RP par categorie budgetaire'!E200</f>
        <v>33899.439252336437</v>
      </c>
      <c r="E9" s="279">
        <f t="shared" si="0"/>
        <v>74759.532710280357</v>
      </c>
      <c r="F9" s="274"/>
    </row>
    <row r="10" spans="2:6" ht="30.75" customHeight="1" x14ac:dyDescent="0.25">
      <c r="B10" s="280" t="s">
        <v>606</v>
      </c>
      <c r="C10" s="261">
        <f>'[1]2) RP par categorie budgetaire'!D201</f>
        <v>279465.51401869161</v>
      </c>
      <c r="D10" s="261">
        <f>'[1]2) RP par categorie budgetaire'!E201</f>
        <v>44866.074766355137</v>
      </c>
      <c r="E10" s="279">
        <f t="shared" si="0"/>
        <v>324331.58878504677</v>
      </c>
      <c r="F10" s="274"/>
    </row>
    <row r="11" spans="2:6" ht="30.75" customHeight="1" x14ac:dyDescent="0.25">
      <c r="B11" s="277" t="s">
        <v>607</v>
      </c>
      <c r="C11" s="261">
        <f>'[1]2) RP par categorie budgetaire'!D202</f>
        <v>50547.429906542056</v>
      </c>
      <c r="D11" s="261">
        <f>'[1]2) RP par categorie budgetaire'!E202</f>
        <v>19237.383177570089</v>
      </c>
      <c r="E11" s="279">
        <f t="shared" si="0"/>
        <v>69784.813084112146</v>
      </c>
      <c r="F11" s="274"/>
    </row>
    <row r="12" spans="2:6" ht="30.75" customHeight="1" x14ac:dyDescent="0.25">
      <c r="B12" s="277" t="s">
        <v>608</v>
      </c>
      <c r="C12" s="261">
        <f>'[1]2) RP par categorie budgetaire'!D203</f>
        <v>659532.24299065408</v>
      </c>
      <c r="D12" s="261">
        <f>'[1]2) RP par categorie budgetaire'!E203</f>
        <v>111720</v>
      </c>
      <c r="E12" s="279">
        <f t="shared" si="0"/>
        <v>771252.24299065408</v>
      </c>
      <c r="F12" s="274"/>
    </row>
    <row r="13" spans="2:6" ht="30.75" customHeight="1" thickBot="1" x14ac:dyDescent="0.3">
      <c r="B13" s="281" t="s">
        <v>609</v>
      </c>
      <c r="C13" s="282">
        <f>'[1]2) RP par categorie budgetaire'!D204</f>
        <v>55636.355140186919</v>
      </c>
      <c r="D13" s="282">
        <f>'[1]2) RP par categorie budgetaire'!E204</f>
        <v>11822.2429906542</v>
      </c>
      <c r="E13" s="283">
        <f t="shared" si="0"/>
        <v>67458.598130841114</v>
      </c>
      <c r="F13" s="274"/>
    </row>
    <row r="14" spans="2:6" ht="30.75" customHeight="1" x14ac:dyDescent="0.25">
      <c r="B14" s="284" t="s">
        <v>610</v>
      </c>
      <c r="C14" s="285">
        <f>SUM(C7:C13)</f>
        <v>1121495.3271028036</v>
      </c>
      <c r="D14" s="285">
        <f>SUM(D7:D13)</f>
        <v>280373.83177570091</v>
      </c>
      <c r="E14" s="286">
        <f t="shared" si="0"/>
        <v>1401869.1588785045</v>
      </c>
      <c r="F14" s="274"/>
    </row>
    <row r="15" spans="2:6" ht="30.75" customHeight="1" x14ac:dyDescent="0.25">
      <c r="B15" s="287" t="s">
        <v>611</v>
      </c>
      <c r="C15" s="288">
        <f>C14*0.07</f>
        <v>78504.672897196258</v>
      </c>
      <c r="D15" s="288">
        <f>D14*0.07</f>
        <v>19626.168224299065</v>
      </c>
      <c r="E15" s="289">
        <f>E14*0.07</f>
        <v>98130.841121495323</v>
      </c>
      <c r="F15" s="274"/>
    </row>
    <row r="16" spans="2:6" ht="30.75" customHeight="1" thickBot="1" x14ac:dyDescent="0.3">
      <c r="B16" s="290" t="s">
        <v>1</v>
      </c>
      <c r="C16" s="291">
        <f>C14+C15</f>
        <v>1200000</v>
      </c>
      <c r="D16" s="291">
        <f>D14+D15</f>
        <v>300000</v>
      </c>
      <c r="E16" s="292">
        <f>E14+E15</f>
        <v>1499999.9999999998</v>
      </c>
      <c r="F16" s="274"/>
    </row>
    <row r="17" spans="2:6" ht="16.5" thickBot="1" x14ac:dyDescent="0.3">
      <c r="B17" s="274"/>
      <c r="C17" s="274"/>
      <c r="D17" s="274"/>
      <c r="E17" s="274"/>
      <c r="F17" s="274"/>
    </row>
    <row r="18" spans="2:6" ht="15.75" x14ac:dyDescent="0.25">
      <c r="B18" s="842" t="s">
        <v>612</v>
      </c>
      <c r="C18" s="843"/>
      <c r="D18" s="843"/>
      <c r="E18" s="844"/>
      <c r="F18" s="274"/>
    </row>
    <row r="19" spans="2:6" ht="46.5" customHeight="1" x14ac:dyDescent="0.25">
      <c r="B19" s="293"/>
      <c r="C19" s="276" t="str">
        <f>'[1]1) RF par produit'!D5</f>
        <v>PNUD
(budget en USD)</v>
      </c>
      <c r="D19" s="276" t="str">
        <f>'[1]1) RF par produit'!E5</f>
        <v>MSIS-tatao
(budget en USD)</v>
      </c>
      <c r="E19" s="294" t="s">
        <v>600</v>
      </c>
      <c r="F19" s="295" t="s">
        <v>0</v>
      </c>
    </row>
    <row r="20" spans="2:6" ht="28.5" customHeight="1" x14ac:dyDescent="0.25">
      <c r="B20" s="277" t="s">
        <v>613</v>
      </c>
      <c r="C20" s="296">
        <f>'[1]1) RF par produit'!D197</f>
        <v>780000</v>
      </c>
      <c r="D20" s="296">
        <f>'[1]1) RF par produit'!E197</f>
        <v>195000</v>
      </c>
      <c r="E20" s="297">
        <f>'[1]1) RF par produit'!G197</f>
        <v>975000</v>
      </c>
      <c r="F20" s="298">
        <f>'[1]1) RF par produit'!H197</f>
        <v>0.65</v>
      </c>
    </row>
    <row r="21" spans="2:6" ht="28.5" customHeight="1" x14ac:dyDescent="0.25">
      <c r="B21" s="277" t="s">
        <v>614</v>
      </c>
      <c r="C21" s="296">
        <f>'[1]1) RF par produit'!D198</f>
        <v>420000</v>
      </c>
      <c r="D21" s="296">
        <f>'[1]1) RF par produit'!E198</f>
        <v>105000</v>
      </c>
      <c r="E21" s="297">
        <f>'[1]1) RF par produit'!G198</f>
        <v>525000</v>
      </c>
      <c r="F21" s="298">
        <f>'[1]1) RF par produit'!H198</f>
        <v>0.35</v>
      </c>
    </row>
    <row r="22" spans="2:6" ht="28.5" customHeight="1" thickBot="1" x14ac:dyDescent="0.3">
      <c r="B22" s="277" t="s">
        <v>615</v>
      </c>
      <c r="C22" s="296">
        <f>'[1]1) RF par produit'!D199</f>
        <v>0</v>
      </c>
      <c r="D22" s="296">
        <f>'[1]1) RF par produit'!E199</f>
        <v>0</v>
      </c>
      <c r="E22" s="297">
        <f>'[1]1) RF par produit'!G199</f>
        <v>0</v>
      </c>
      <c r="F22" s="299">
        <f>'[1]1) RF par produit'!H199</f>
        <v>0</v>
      </c>
    </row>
    <row r="23" spans="2:6" ht="16.5" thickBot="1" x14ac:dyDescent="0.3">
      <c r="B23" s="300" t="s">
        <v>600</v>
      </c>
      <c r="C23" s="301">
        <f>'[1]1) RF par produit'!D200</f>
        <v>1200000</v>
      </c>
      <c r="D23" s="301">
        <f>'[1]1) RF par produit'!E200</f>
        <v>300000</v>
      </c>
      <c r="E23" s="301">
        <f>'[1]1) RF par produit'!G200</f>
        <v>1500000</v>
      </c>
      <c r="F23" s="273"/>
    </row>
    <row r="24" spans="2:6" x14ac:dyDescent="0.25">
      <c r="B24" s="273"/>
      <c r="C24" s="273"/>
      <c r="D24" s="273"/>
      <c r="E24" s="273"/>
      <c r="F24" s="273"/>
    </row>
  </sheetData>
  <mergeCells count="3">
    <mergeCell ref="B2:E3"/>
    <mergeCell ref="B5:E5"/>
    <mergeCell ref="B18:E18"/>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1000000}"/>
    <dataValidation allowBlank="1" showInputMessage="1" showErrorMessage="1" prompt="Services contracted by an organization which follow the normal procurement processes." sqref="B10"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5000000}"/>
    <dataValidation allowBlank="1" showInputMessage="1" showErrorMessage="1" prompt="Includes all related staff and temporary staff costs including base salary, post adjustment and all staff entitlements." sqref="B7" xr:uid="{00000000-0002-0000-0500-000006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F20" sqref="F19:F20"/>
    </sheetView>
  </sheetViews>
  <sheetFormatPr baseColWidth="10" defaultColWidth="8.85546875" defaultRowHeight="15" x14ac:dyDescent="0.25"/>
  <sheetData>
    <row r="1" spans="1:1" x14ac:dyDescent="0.25">
      <c r="A1" s="65">
        <v>0</v>
      </c>
    </row>
    <row r="2" spans="1:1" x14ac:dyDescent="0.25">
      <c r="A2" s="65">
        <v>0.2</v>
      </c>
    </row>
    <row r="3" spans="1:1" x14ac:dyDescent="0.25">
      <c r="A3" s="65">
        <v>0.4</v>
      </c>
    </row>
    <row r="4" spans="1:1" x14ac:dyDescent="0.25">
      <c r="A4" s="65">
        <v>0.6</v>
      </c>
    </row>
    <row r="5" spans="1:1" x14ac:dyDescent="0.25">
      <c r="A5" s="65">
        <v>0.8</v>
      </c>
    </row>
    <row r="6" spans="1:1" x14ac:dyDescent="0.25">
      <c r="A6" s="6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9" workbookViewId="0">
      <selection activeCell="A16" sqref="A16"/>
    </sheetView>
  </sheetViews>
  <sheetFormatPr baseColWidth="10" defaultColWidth="8.85546875" defaultRowHeight="15" x14ac:dyDescent="0.25"/>
  <cols>
    <col min="1" max="1" width="23.85546875" customWidth="1"/>
  </cols>
  <sheetData>
    <row r="1" spans="1:2" x14ac:dyDescent="0.25">
      <c r="A1" s="28" t="s">
        <v>2</v>
      </c>
      <c r="B1" s="29" t="s">
        <v>3</v>
      </c>
    </row>
    <row r="2" spans="1:2" x14ac:dyDescent="0.25">
      <c r="A2" s="30" t="s">
        <v>4</v>
      </c>
      <c r="B2" s="31" t="s">
        <v>5</v>
      </c>
    </row>
    <row r="3" spans="1:2" x14ac:dyDescent="0.25">
      <c r="A3" s="30" t="s">
        <v>6</v>
      </c>
      <c r="B3" s="31" t="s">
        <v>7</v>
      </c>
    </row>
    <row r="4" spans="1:2" x14ac:dyDescent="0.25">
      <c r="A4" s="30" t="s">
        <v>8</v>
      </c>
      <c r="B4" s="31" t="s">
        <v>9</v>
      </c>
    </row>
    <row r="5" spans="1:2" x14ac:dyDescent="0.25">
      <c r="A5" s="30" t="s">
        <v>10</v>
      </c>
      <c r="B5" s="31" t="s">
        <v>11</v>
      </c>
    </row>
    <row r="6" spans="1:2" x14ac:dyDescent="0.25">
      <c r="A6" s="30" t="s">
        <v>12</v>
      </c>
      <c r="B6" s="31" t="s">
        <v>13</v>
      </c>
    </row>
    <row r="7" spans="1:2" x14ac:dyDescent="0.25">
      <c r="A7" s="30" t="s">
        <v>14</v>
      </c>
      <c r="B7" s="31" t="s">
        <v>15</v>
      </c>
    </row>
    <row r="8" spans="1:2" x14ac:dyDescent="0.25">
      <c r="A8" s="30" t="s">
        <v>16</v>
      </c>
      <c r="B8" s="31" t="s">
        <v>17</v>
      </c>
    </row>
    <row r="9" spans="1:2" x14ac:dyDescent="0.25">
      <c r="A9" s="30" t="s">
        <v>18</v>
      </c>
      <c r="B9" s="31" t="s">
        <v>19</v>
      </c>
    </row>
    <row r="10" spans="1:2" x14ac:dyDescent="0.25">
      <c r="A10" s="30" t="s">
        <v>20</v>
      </c>
      <c r="B10" s="31" t="s">
        <v>21</v>
      </c>
    </row>
    <row r="11" spans="1:2" x14ac:dyDescent="0.25">
      <c r="A11" s="30" t="s">
        <v>22</v>
      </c>
      <c r="B11" s="31" t="s">
        <v>23</v>
      </c>
    </row>
    <row r="12" spans="1:2" x14ac:dyDescent="0.25">
      <c r="A12" s="30" t="s">
        <v>24</v>
      </c>
      <c r="B12" s="31" t="s">
        <v>25</v>
      </c>
    </row>
    <row r="13" spans="1:2" x14ac:dyDescent="0.25">
      <c r="A13" s="30" t="s">
        <v>26</v>
      </c>
      <c r="B13" s="31" t="s">
        <v>27</v>
      </c>
    </row>
    <row r="14" spans="1:2" x14ac:dyDescent="0.25">
      <c r="A14" s="30" t="s">
        <v>28</v>
      </c>
      <c r="B14" s="31" t="s">
        <v>29</v>
      </c>
    </row>
    <row r="15" spans="1:2" x14ac:dyDescent="0.25">
      <c r="A15" s="30" t="s">
        <v>30</v>
      </c>
      <c r="B15" s="31" t="s">
        <v>31</v>
      </c>
    </row>
    <row r="16" spans="1:2" x14ac:dyDescent="0.25">
      <c r="A16" s="30" t="s">
        <v>32</v>
      </c>
      <c r="B16" s="31" t="s">
        <v>33</v>
      </c>
    </row>
    <row r="17" spans="1:2" x14ac:dyDescent="0.25">
      <c r="A17" s="30" t="s">
        <v>34</v>
      </c>
      <c r="B17" s="31" t="s">
        <v>35</v>
      </c>
    </row>
    <row r="18" spans="1:2" x14ac:dyDescent="0.25">
      <c r="A18" s="30" t="s">
        <v>36</v>
      </c>
      <c r="B18" s="31" t="s">
        <v>37</v>
      </c>
    </row>
    <row r="19" spans="1:2" x14ac:dyDescent="0.25">
      <c r="A19" s="30" t="s">
        <v>38</v>
      </c>
      <c r="B19" s="31" t="s">
        <v>39</v>
      </c>
    </row>
    <row r="20" spans="1:2" x14ac:dyDescent="0.25">
      <c r="A20" s="30" t="s">
        <v>40</v>
      </c>
      <c r="B20" s="31" t="s">
        <v>41</v>
      </c>
    </row>
    <row r="21" spans="1:2" x14ac:dyDescent="0.25">
      <c r="A21" s="30" t="s">
        <v>42</v>
      </c>
      <c r="B21" s="31" t="s">
        <v>43</v>
      </c>
    </row>
    <row r="22" spans="1:2" x14ac:dyDescent="0.25">
      <c r="A22" s="30" t="s">
        <v>44</v>
      </c>
      <c r="B22" s="31" t="s">
        <v>45</v>
      </c>
    </row>
    <row r="23" spans="1:2" x14ac:dyDescent="0.25">
      <c r="A23" s="30" t="s">
        <v>46</v>
      </c>
      <c r="B23" s="31" t="s">
        <v>47</v>
      </c>
    </row>
    <row r="24" spans="1:2" x14ac:dyDescent="0.25">
      <c r="A24" s="30" t="s">
        <v>48</v>
      </c>
      <c r="B24" s="31" t="s">
        <v>49</v>
      </c>
    </row>
    <row r="25" spans="1:2" x14ac:dyDescent="0.25">
      <c r="A25" s="30" t="s">
        <v>50</v>
      </c>
      <c r="B25" s="31" t="s">
        <v>51</v>
      </c>
    </row>
    <row r="26" spans="1:2" x14ac:dyDescent="0.25">
      <c r="A26" s="30" t="s">
        <v>52</v>
      </c>
      <c r="B26" s="31" t="s">
        <v>53</v>
      </c>
    </row>
    <row r="27" spans="1:2" x14ac:dyDescent="0.25">
      <c r="A27" s="30" t="s">
        <v>54</v>
      </c>
      <c r="B27" s="31" t="s">
        <v>55</v>
      </c>
    </row>
    <row r="28" spans="1:2" x14ac:dyDescent="0.25">
      <c r="A28" s="30" t="s">
        <v>56</v>
      </c>
      <c r="B28" s="31" t="s">
        <v>57</v>
      </c>
    </row>
    <row r="29" spans="1:2" x14ac:dyDescent="0.25">
      <c r="A29" s="30" t="s">
        <v>58</v>
      </c>
      <c r="B29" s="31" t="s">
        <v>59</v>
      </c>
    </row>
    <row r="30" spans="1:2" x14ac:dyDescent="0.25">
      <c r="A30" s="30" t="s">
        <v>60</v>
      </c>
      <c r="B30" s="31" t="s">
        <v>61</v>
      </c>
    </row>
    <row r="31" spans="1:2" x14ac:dyDescent="0.25">
      <c r="A31" s="30" t="s">
        <v>62</v>
      </c>
      <c r="B31" s="31" t="s">
        <v>63</v>
      </c>
    </row>
    <row r="32" spans="1:2" x14ac:dyDescent="0.25">
      <c r="A32" s="30" t="s">
        <v>64</v>
      </c>
      <c r="B32" s="31" t="s">
        <v>65</v>
      </c>
    </row>
    <row r="33" spans="1:2" x14ac:dyDescent="0.25">
      <c r="A33" s="30" t="s">
        <v>66</v>
      </c>
      <c r="B33" s="31" t="s">
        <v>67</v>
      </c>
    </row>
    <row r="34" spans="1:2" x14ac:dyDescent="0.25">
      <c r="A34" s="30" t="s">
        <v>68</v>
      </c>
      <c r="B34" s="31" t="s">
        <v>69</v>
      </c>
    </row>
    <row r="35" spans="1:2" x14ac:dyDescent="0.25">
      <c r="A35" s="30" t="s">
        <v>70</v>
      </c>
      <c r="B35" s="31" t="s">
        <v>71</v>
      </c>
    </row>
    <row r="36" spans="1:2" x14ac:dyDescent="0.25">
      <c r="A36" s="30" t="s">
        <v>72</v>
      </c>
      <c r="B36" s="31" t="s">
        <v>73</v>
      </c>
    </row>
    <row r="37" spans="1:2" x14ac:dyDescent="0.25">
      <c r="A37" s="30" t="s">
        <v>74</v>
      </c>
      <c r="B37" s="31" t="s">
        <v>75</v>
      </c>
    </row>
    <row r="38" spans="1:2" x14ac:dyDescent="0.25">
      <c r="A38" s="30" t="s">
        <v>76</v>
      </c>
      <c r="B38" s="31" t="s">
        <v>77</v>
      </c>
    </row>
    <row r="39" spans="1:2" x14ac:dyDescent="0.25">
      <c r="A39" s="30" t="s">
        <v>78</v>
      </c>
      <c r="B39" s="31" t="s">
        <v>79</v>
      </c>
    </row>
    <row r="40" spans="1:2" x14ac:dyDescent="0.25">
      <c r="A40" s="30" t="s">
        <v>80</v>
      </c>
      <c r="B40" s="31" t="s">
        <v>81</v>
      </c>
    </row>
    <row r="41" spans="1:2" x14ac:dyDescent="0.25">
      <c r="A41" s="30" t="s">
        <v>82</v>
      </c>
      <c r="B41" s="31" t="s">
        <v>83</v>
      </c>
    </row>
    <row r="42" spans="1:2" x14ac:dyDescent="0.25">
      <c r="A42" s="30" t="s">
        <v>84</v>
      </c>
      <c r="B42" s="31" t="s">
        <v>85</v>
      </c>
    </row>
    <row r="43" spans="1:2" x14ac:dyDescent="0.25">
      <c r="A43" s="30" t="s">
        <v>86</v>
      </c>
      <c r="B43" s="31" t="s">
        <v>87</v>
      </c>
    </row>
    <row r="44" spans="1:2" x14ac:dyDescent="0.25">
      <c r="A44" s="30" t="s">
        <v>88</v>
      </c>
      <c r="B44" s="31" t="s">
        <v>89</v>
      </c>
    </row>
    <row r="45" spans="1:2" x14ac:dyDescent="0.25">
      <c r="A45" s="30" t="s">
        <v>90</v>
      </c>
      <c r="B45" s="31" t="s">
        <v>91</v>
      </c>
    </row>
    <row r="46" spans="1:2" x14ac:dyDescent="0.25">
      <c r="A46" s="30" t="s">
        <v>92</v>
      </c>
      <c r="B46" s="31" t="s">
        <v>93</v>
      </c>
    </row>
    <row r="47" spans="1:2" x14ac:dyDescent="0.25">
      <c r="A47" s="30" t="s">
        <v>94</v>
      </c>
      <c r="B47" s="31" t="s">
        <v>95</v>
      </c>
    </row>
    <row r="48" spans="1:2" x14ac:dyDescent="0.25">
      <c r="A48" s="30" t="s">
        <v>96</v>
      </c>
      <c r="B48" s="31" t="s">
        <v>97</v>
      </c>
    </row>
    <row r="49" spans="1:2" x14ac:dyDescent="0.25">
      <c r="A49" s="30" t="s">
        <v>98</v>
      </c>
      <c r="B49" s="31" t="s">
        <v>99</v>
      </c>
    </row>
    <row r="50" spans="1:2" x14ac:dyDescent="0.25">
      <c r="A50" s="30" t="s">
        <v>100</v>
      </c>
      <c r="B50" s="31" t="s">
        <v>101</v>
      </c>
    </row>
    <row r="51" spans="1:2" x14ac:dyDescent="0.25">
      <c r="A51" s="30" t="s">
        <v>102</v>
      </c>
      <c r="B51" s="31" t="s">
        <v>103</v>
      </c>
    </row>
    <row r="52" spans="1:2" x14ac:dyDescent="0.25">
      <c r="A52" s="30" t="s">
        <v>104</v>
      </c>
      <c r="B52" s="31" t="s">
        <v>105</v>
      </c>
    </row>
    <row r="53" spans="1:2" x14ac:dyDescent="0.25">
      <c r="A53" s="30" t="s">
        <v>106</v>
      </c>
      <c r="B53" s="31" t="s">
        <v>107</v>
      </c>
    </row>
    <row r="54" spans="1:2" x14ac:dyDescent="0.25">
      <c r="A54" s="30" t="s">
        <v>108</v>
      </c>
      <c r="B54" s="31" t="s">
        <v>109</v>
      </c>
    </row>
    <row r="55" spans="1:2" x14ac:dyDescent="0.25">
      <c r="A55" s="30" t="s">
        <v>110</v>
      </c>
      <c r="B55" s="31" t="s">
        <v>111</v>
      </c>
    </row>
    <row r="56" spans="1:2" x14ac:dyDescent="0.25">
      <c r="A56" s="30" t="s">
        <v>112</v>
      </c>
      <c r="B56" s="31" t="s">
        <v>113</v>
      </c>
    </row>
    <row r="57" spans="1:2" x14ac:dyDescent="0.25">
      <c r="A57" s="30" t="s">
        <v>114</v>
      </c>
      <c r="B57" s="31" t="s">
        <v>115</v>
      </c>
    </row>
    <row r="58" spans="1:2" x14ac:dyDescent="0.25">
      <c r="A58" s="30" t="s">
        <v>116</v>
      </c>
      <c r="B58" s="31" t="s">
        <v>117</v>
      </c>
    </row>
    <row r="59" spans="1:2" x14ac:dyDescent="0.25">
      <c r="A59" s="30" t="s">
        <v>118</v>
      </c>
      <c r="B59" s="31" t="s">
        <v>119</v>
      </c>
    </row>
    <row r="60" spans="1:2" x14ac:dyDescent="0.25">
      <c r="A60" s="30" t="s">
        <v>120</v>
      </c>
      <c r="B60" s="31" t="s">
        <v>121</v>
      </c>
    </row>
    <row r="61" spans="1:2" x14ac:dyDescent="0.25">
      <c r="A61" s="30" t="s">
        <v>122</v>
      </c>
      <c r="B61" s="31" t="s">
        <v>123</v>
      </c>
    </row>
    <row r="62" spans="1:2" x14ac:dyDescent="0.25">
      <c r="A62" s="30" t="s">
        <v>124</v>
      </c>
      <c r="B62" s="31" t="s">
        <v>125</v>
      </c>
    </row>
    <row r="63" spans="1:2" x14ac:dyDescent="0.25">
      <c r="A63" s="30" t="s">
        <v>126</v>
      </c>
      <c r="B63" s="31" t="s">
        <v>127</v>
      </c>
    </row>
    <row r="64" spans="1:2" x14ac:dyDescent="0.25">
      <c r="A64" s="30" t="s">
        <v>128</v>
      </c>
      <c r="B64" s="31" t="s">
        <v>129</v>
      </c>
    </row>
    <row r="65" spans="1:2" x14ac:dyDescent="0.25">
      <c r="A65" s="30" t="s">
        <v>130</v>
      </c>
      <c r="B65" s="31" t="s">
        <v>131</v>
      </c>
    </row>
    <row r="66" spans="1:2" x14ac:dyDescent="0.25">
      <c r="A66" s="30" t="s">
        <v>132</v>
      </c>
      <c r="B66" s="31" t="s">
        <v>133</v>
      </c>
    </row>
    <row r="67" spans="1:2" x14ac:dyDescent="0.25">
      <c r="A67" s="30" t="s">
        <v>134</v>
      </c>
      <c r="B67" s="31" t="s">
        <v>135</v>
      </c>
    </row>
    <row r="68" spans="1:2" x14ac:dyDescent="0.25">
      <c r="A68" s="30" t="s">
        <v>136</v>
      </c>
      <c r="B68" s="31" t="s">
        <v>137</v>
      </c>
    </row>
    <row r="69" spans="1:2" x14ac:dyDescent="0.25">
      <c r="A69" s="30" t="s">
        <v>138</v>
      </c>
      <c r="B69" s="31" t="s">
        <v>139</v>
      </c>
    </row>
    <row r="70" spans="1:2" x14ac:dyDescent="0.25">
      <c r="A70" s="30" t="s">
        <v>140</v>
      </c>
      <c r="B70" s="31" t="s">
        <v>141</v>
      </c>
    </row>
    <row r="71" spans="1:2" x14ac:dyDescent="0.25">
      <c r="A71" s="30" t="s">
        <v>142</v>
      </c>
      <c r="B71" s="31" t="s">
        <v>143</v>
      </c>
    </row>
    <row r="72" spans="1:2" x14ac:dyDescent="0.25">
      <c r="A72" s="30" t="s">
        <v>144</v>
      </c>
      <c r="B72" s="31" t="s">
        <v>145</v>
      </c>
    </row>
    <row r="73" spans="1:2" x14ac:dyDescent="0.25">
      <c r="A73" s="30" t="s">
        <v>146</v>
      </c>
      <c r="B73" s="31" t="s">
        <v>147</v>
      </c>
    </row>
    <row r="74" spans="1:2" x14ac:dyDescent="0.25">
      <c r="A74" s="30" t="s">
        <v>148</v>
      </c>
      <c r="B74" s="31" t="s">
        <v>149</v>
      </c>
    </row>
    <row r="75" spans="1:2" x14ac:dyDescent="0.25">
      <c r="A75" s="30" t="s">
        <v>150</v>
      </c>
      <c r="B75" s="32" t="s">
        <v>151</v>
      </c>
    </row>
    <row r="76" spans="1:2" x14ac:dyDescent="0.25">
      <c r="A76" s="30" t="s">
        <v>152</v>
      </c>
      <c r="B76" s="32" t="s">
        <v>153</v>
      </c>
    </row>
    <row r="77" spans="1:2" x14ac:dyDescent="0.25">
      <c r="A77" s="30" t="s">
        <v>154</v>
      </c>
      <c r="B77" s="32" t="s">
        <v>155</v>
      </c>
    </row>
    <row r="78" spans="1:2" x14ac:dyDescent="0.25">
      <c r="A78" s="30" t="s">
        <v>156</v>
      </c>
      <c r="B78" s="32" t="s">
        <v>157</v>
      </c>
    </row>
    <row r="79" spans="1:2" x14ac:dyDescent="0.25">
      <c r="A79" s="30" t="s">
        <v>158</v>
      </c>
      <c r="B79" s="32" t="s">
        <v>159</v>
      </c>
    </row>
    <row r="80" spans="1:2" x14ac:dyDescent="0.25">
      <c r="A80" s="30" t="s">
        <v>160</v>
      </c>
      <c r="B80" s="32" t="s">
        <v>161</v>
      </c>
    </row>
    <row r="81" spans="1:2" x14ac:dyDescent="0.25">
      <c r="A81" s="30" t="s">
        <v>162</v>
      </c>
      <c r="B81" s="32" t="s">
        <v>163</v>
      </c>
    </row>
    <row r="82" spans="1:2" x14ac:dyDescent="0.25">
      <c r="A82" s="30" t="s">
        <v>164</v>
      </c>
      <c r="B82" s="32" t="s">
        <v>165</v>
      </c>
    </row>
    <row r="83" spans="1:2" x14ac:dyDescent="0.25">
      <c r="A83" s="30" t="s">
        <v>166</v>
      </c>
      <c r="B83" s="32" t="s">
        <v>167</v>
      </c>
    </row>
    <row r="84" spans="1:2" x14ac:dyDescent="0.25">
      <c r="A84" s="30" t="s">
        <v>168</v>
      </c>
      <c r="B84" s="32" t="s">
        <v>169</v>
      </c>
    </row>
    <row r="85" spans="1:2" x14ac:dyDescent="0.25">
      <c r="A85" s="30" t="s">
        <v>170</v>
      </c>
      <c r="B85" s="32" t="s">
        <v>171</v>
      </c>
    </row>
    <row r="86" spans="1:2" x14ac:dyDescent="0.25">
      <c r="A86" s="30" t="s">
        <v>172</v>
      </c>
      <c r="B86" s="32" t="s">
        <v>173</v>
      </c>
    </row>
    <row r="87" spans="1:2" x14ac:dyDescent="0.25">
      <c r="A87" s="30" t="s">
        <v>174</v>
      </c>
      <c r="B87" s="32" t="s">
        <v>175</v>
      </c>
    </row>
    <row r="88" spans="1:2" x14ac:dyDescent="0.25">
      <c r="A88" s="30" t="s">
        <v>176</v>
      </c>
      <c r="B88" s="32" t="s">
        <v>177</v>
      </c>
    </row>
    <row r="89" spans="1:2" x14ac:dyDescent="0.25">
      <c r="A89" s="30" t="s">
        <v>178</v>
      </c>
      <c r="B89" s="32" t="s">
        <v>179</v>
      </c>
    </row>
    <row r="90" spans="1:2" x14ac:dyDescent="0.25">
      <c r="A90" s="30" t="s">
        <v>180</v>
      </c>
      <c r="B90" s="32" t="s">
        <v>181</v>
      </c>
    </row>
    <row r="91" spans="1:2" x14ac:dyDescent="0.25">
      <c r="A91" s="30" t="s">
        <v>182</v>
      </c>
      <c r="B91" s="32" t="s">
        <v>183</v>
      </c>
    </row>
    <row r="92" spans="1:2" x14ac:dyDescent="0.25">
      <c r="A92" s="30" t="s">
        <v>184</v>
      </c>
      <c r="B92" s="32" t="s">
        <v>185</v>
      </c>
    </row>
    <row r="93" spans="1:2" x14ac:dyDescent="0.25">
      <c r="A93" s="30" t="s">
        <v>186</v>
      </c>
      <c r="B93" s="32" t="s">
        <v>187</v>
      </c>
    </row>
    <row r="94" spans="1:2" x14ac:dyDescent="0.25">
      <c r="A94" s="30" t="s">
        <v>188</v>
      </c>
      <c r="B94" s="32" t="s">
        <v>189</v>
      </c>
    </row>
    <row r="95" spans="1:2" x14ac:dyDescent="0.25">
      <c r="A95" s="30" t="s">
        <v>190</v>
      </c>
      <c r="B95" s="32" t="s">
        <v>191</v>
      </c>
    </row>
    <row r="96" spans="1:2" x14ac:dyDescent="0.25">
      <c r="A96" s="30" t="s">
        <v>192</v>
      </c>
      <c r="B96" s="32" t="s">
        <v>193</v>
      </c>
    </row>
    <row r="97" spans="1:2" x14ac:dyDescent="0.25">
      <c r="A97" s="30" t="s">
        <v>194</v>
      </c>
      <c r="B97" s="32" t="s">
        <v>195</v>
      </c>
    </row>
    <row r="98" spans="1:2" x14ac:dyDescent="0.25">
      <c r="A98" s="30" t="s">
        <v>196</v>
      </c>
      <c r="B98" s="32" t="s">
        <v>197</v>
      </c>
    </row>
    <row r="99" spans="1:2" x14ac:dyDescent="0.25">
      <c r="A99" s="30" t="s">
        <v>198</v>
      </c>
      <c r="B99" s="32" t="s">
        <v>199</v>
      </c>
    </row>
    <row r="100" spans="1:2" x14ac:dyDescent="0.25">
      <c r="A100" s="30" t="s">
        <v>200</v>
      </c>
      <c r="B100" s="32" t="s">
        <v>201</v>
      </c>
    </row>
    <row r="101" spans="1:2" x14ac:dyDescent="0.25">
      <c r="A101" s="30" t="s">
        <v>202</v>
      </c>
      <c r="B101" s="32" t="s">
        <v>203</v>
      </c>
    </row>
    <row r="102" spans="1:2" x14ac:dyDescent="0.25">
      <c r="A102" s="30" t="s">
        <v>204</v>
      </c>
      <c r="B102" s="32" t="s">
        <v>205</v>
      </c>
    </row>
    <row r="103" spans="1:2" x14ac:dyDescent="0.25">
      <c r="A103" s="30" t="s">
        <v>206</v>
      </c>
      <c r="B103" s="32" t="s">
        <v>207</v>
      </c>
    </row>
    <row r="104" spans="1:2" x14ac:dyDescent="0.25">
      <c r="A104" s="30" t="s">
        <v>208</v>
      </c>
      <c r="B104" s="32" t="s">
        <v>209</v>
      </c>
    </row>
    <row r="105" spans="1:2" x14ac:dyDescent="0.25">
      <c r="A105" s="30" t="s">
        <v>210</v>
      </c>
      <c r="B105" s="32" t="s">
        <v>211</v>
      </c>
    </row>
    <row r="106" spans="1:2" x14ac:dyDescent="0.25">
      <c r="A106" s="30" t="s">
        <v>212</v>
      </c>
      <c r="B106" s="32" t="s">
        <v>213</v>
      </c>
    </row>
    <row r="107" spans="1:2" x14ac:dyDescent="0.25">
      <c r="A107" s="30" t="s">
        <v>214</v>
      </c>
      <c r="B107" s="32" t="s">
        <v>215</v>
      </c>
    </row>
    <row r="108" spans="1:2" x14ac:dyDescent="0.25">
      <c r="A108" s="30" t="s">
        <v>216</v>
      </c>
      <c r="B108" s="32" t="s">
        <v>217</v>
      </c>
    </row>
    <row r="109" spans="1:2" x14ac:dyDescent="0.25">
      <c r="A109" s="30" t="s">
        <v>218</v>
      </c>
      <c r="B109" s="32" t="s">
        <v>219</v>
      </c>
    </row>
    <row r="110" spans="1:2" x14ac:dyDescent="0.25">
      <c r="A110" s="30" t="s">
        <v>220</v>
      </c>
      <c r="B110" s="32" t="s">
        <v>221</v>
      </c>
    </row>
    <row r="111" spans="1:2" x14ac:dyDescent="0.25">
      <c r="A111" s="30" t="s">
        <v>222</v>
      </c>
      <c r="B111" s="32" t="s">
        <v>223</v>
      </c>
    </row>
    <row r="112" spans="1:2" x14ac:dyDescent="0.25">
      <c r="A112" s="30" t="s">
        <v>224</v>
      </c>
      <c r="B112" s="32" t="s">
        <v>225</v>
      </c>
    </row>
    <row r="113" spans="1:2" x14ac:dyDescent="0.25">
      <c r="A113" s="30" t="s">
        <v>226</v>
      </c>
      <c r="B113" s="32" t="s">
        <v>227</v>
      </c>
    </row>
    <row r="114" spans="1:2" x14ac:dyDescent="0.25">
      <c r="A114" s="30" t="s">
        <v>228</v>
      </c>
      <c r="B114" s="32" t="s">
        <v>229</v>
      </c>
    </row>
    <row r="115" spans="1:2" x14ac:dyDescent="0.25">
      <c r="A115" s="30" t="s">
        <v>230</v>
      </c>
      <c r="B115" s="32" t="s">
        <v>231</v>
      </c>
    </row>
    <row r="116" spans="1:2" x14ac:dyDescent="0.25">
      <c r="A116" s="30" t="s">
        <v>232</v>
      </c>
      <c r="B116" s="32" t="s">
        <v>233</v>
      </c>
    </row>
    <row r="117" spans="1:2" x14ac:dyDescent="0.25">
      <c r="A117" s="30" t="s">
        <v>234</v>
      </c>
      <c r="B117" s="32" t="s">
        <v>235</v>
      </c>
    </row>
    <row r="118" spans="1:2" x14ac:dyDescent="0.25">
      <c r="A118" s="30" t="s">
        <v>236</v>
      </c>
      <c r="B118" s="32" t="s">
        <v>237</v>
      </c>
    </row>
    <row r="119" spans="1:2" x14ac:dyDescent="0.25">
      <c r="A119" s="30" t="s">
        <v>238</v>
      </c>
      <c r="B119" s="32" t="s">
        <v>239</v>
      </c>
    </row>
    <row r="120" spans="1:2" x14ac:dyDescent="0.25">
      <c r="A120" s="30" t="s">
        <v>240</v>
      </c>
      <c r="B120" s="32" t="s">
        <v>241</v>
      </c>
    </row>
    <row r="121" spans="1:2" x14ac:dyDescent="0.25">
      <c r="A121" s="30" t="s">
        <v>242</v>
      </c>
      <c r="B121" s="32" t="s">
        <v>243</v>
      </c>
    </row>
    <row r="122" spans="1:2" x14ac:dyDescent="0.25">
      <c r="A122" s="30" t="s">
        <v>244</v>
      </c>
      <c r="B122" s="32" t="s">
        <v>245</v>
      </c>
    </row>
    <row r="123" spans="1:2" x14ac:dyDescent="0.25">
      <c r="A123" s="30" t="s">
        <v>246</v>
      </c>
      <c r="B123" s="32" t="s">
        <v>247</v>
      </c>
    </row>
    <row r="124" spans="1:2" x14ac:dyDescent="0.25">
      <c r="A124" s="30" t="s">
        <v>248</v>
      </c>
      <c r="B124" s="32" t="s">
        <v>249</v>
      </c>
    </row>
    <row r="125" spans="1:2" x14ac:dyDescent="0.25">
      <c r="A125" s="30" t="s">
        <v>250</v>
      </c>
      <c r="B125" s="32" t="s">
        <v>251</v>
      </c>
    </row>
    <row r="126" spans="1:2" x14ac:dyDescent="0.25">
      <c r="A126" s="30" t="s">
        <v>252</v>
      </c>
      <c r="B126" s="32" t="s">
        <v>253</v>
      </c>
    </row>
    <row r="127" spans="1:2" x14ac:dyDescent="0.25">
      <c r="A127" s="30" t="s">
        <v>254</v>
      </c>
      <c r="B127" s="32" t="s">
        <v>255</v>
      </c>
    </row>
    <row r="128" spans="1:2" x14ac:dyDescent="0.25">
      <c r="A128" s="30" t="s">
        <v>256</v>
      </c>
      <c r="B128" s="32" t="s">
        <v>257</v>
      </c>
    </row>
    <row r="129" spans="1:2" x14ac:dyDescent="0.25">
      <c r="A129" s="30" t="s">
        <v>258</v>
      </c>
      <c r="B129" s="32" t="s">
        <v>259</v>
      </c>
    </row>
    <row r="130" spans="1:2" x14ac:dyDescent="0.25">
      <c r="A130" s="30" t="s">
        <v>260</v>
      </c>
      <c r="B130" s="32" t="s">
        <v>261</v>
      </c>
    </row>
    <row r="131" spans="1:2" x14ac:dyDescent="0.25">
      <c r="A131" s="30" t="s">
        <v>262</v>
      </c>
      <c r="B131" s="32" t="s">
        <v>263</v>
      </c>
    </row>
    <row r="132" spans="1:2" x14ac:dyDescent="0.25">
      <c r="A132" s="30" t="s">
        <v>264</v>
      </c>
      <c r="B132" s="32" t="s">
        <v>265</v>
      </c>
    </row>
    <row r="133" spans="1:2" x14ac:dyDescent="0.25">
      <c r="A133" s="30" t="s">
        <v>266</v>
      </c>
      <c r="B133" s="32" t="s">
        <v>267</v>
      </c>
    </row>
    <row r="134" spans="1:2" x14ac:dyDescent="0.25">
      <c r="A134" s="30" t="s">
        <v>268</v>
      </c>
      <c r="B134" s="32" t="s">
        <v>269</v>
      </c>
    </row>
    <row r="135" spans="1:2" x14ac:dyDescent="0.25">
      <c r="A135" s="30" t="s">
        <v>270</v>
      </c>
      <c r="B135" s="32" t="s">
        <v>271</v>
      </c>
    </row>
    <row r="136" spans="1:2" x14ac:dyDescent="0.25">
      <c r="A136" s="30" t="s">
        <v>272</v>
      </c>
      <c r="B136" s="32" t="s">
        <v>273</v>
      </c>
    </row>
    <row r="137" spans="1:2" x14ac:dyDescent="0.25">
      <c r="A137" s="30" t="s">
        <v>274</v>
      </c>
      <c r="B137" s="32" t="s">
        <v>275</v>
      </c>
    </row>
    <row r="138" spans="1:2" x14ac:dyDescent="0.25">
      <c r="A138" s="30" t="s">
        <v>276</v>
      </c>
      <c r="B138" s="32" t="s">
        <v>277</v>
      </c>
    </row>
    <row r="139" spans="1:2" x14ac:dyDescent="0.25">
      <c r="A139" s="30" t="s">
        <v>278</v>
      </c>
      <c r="B139" s="32" t="s">
        <v>279</v>
      </c>
    </row>
    <row r="140" spans="1:2" x14ac:dyDescent="0.25">
      <c r="A140" s="30" t="s">
        <v>280</v>
      </c>
      <c r="B140" s="32" t="s">
        <v>281</v>
      </c>
    </row>
    <row r="141" spans="1:2" x14ac:dyDescent="0.25">
      <c r="A141" s="30" t="s">
        <v>282</v>
      </c>
      <c r="B141" s="32" t="s">
        <v>283</v>
      </c>
    </row>
    <row r="142" spans="1:2" x14ac:dyDescent="0.25">
      <c r="A142" s="30" t="s">
        <v>284</v>
      </c>
      <c r="B142" s="32" t="s">
        <v>285</v>
      </c>
    </row>
    <row r="143" spans="1:2" x14ac:dyDescent="0.25">
      <c r="A143" s="30" t="s">
        <v>286</v>
      </c>
      <c r="B143" s="32" t="s">
        <v>287</v>
      </c>
    </row>
    <row r="144" spans="1:2" x14ac:dyDescent="0.25">
      <c r="A144" s="30" t="s">
        <v>288</v>
      </c>
      <c r="B144" s="33" t="s">
        <v>289</v>
      </c>
    </row>
    <row r="145" spans="1:2" x14ac:dyDescent="0.25">
      <c r="A145" s="30" t="s">
        <v>290</v>
      </c>
      <c r="B145" s="32" t="s">
        <v>291</v>
      </c>
    </row>
    <row r="146" spans="1:2" x14ac:dyDescent="0.25">
      <c r="A146" s="30" t="s">
        <v>292</v>
      </c>
      <c r="B146" s="32" t="s">
        <v>293</v>
      </c>
    </row>
    <row r="147" spans="1:2" x14ac:dyDescent="0.25">
      <c r="A147" s="30" t="s">
        <v>294</v>
      </c>
      <c r="B147" s="32" t="s">
        <v>295</v>
      </c>
    </row>
    <row r="148" spans="1:2" x14ac:dyDescent="0.25">
      <c r="A148" s="30" t="s">
        <v>296</v>
      </c>
      <c r="B148" s="32" t="s">
        <v>297</v>
      </c>
    </row>
    <row r="149" spans="1:2" x14ac:dyDescent="0.25">
      <c r="A149" s="30" t="s">
        <v>298</v>
      </c>
      <c r="B149" s="32" t="s">
        <v>299</v>
      </c>
    </row>
    <row r="150" spans="1:2" x14ac:dyDescent="0.25">
      <c r="A150" s="30" t="s">
        <v>300</v>
      </c>
      <c r="B150" s="32" t="s">
        <v>301</v>
      </c>
    </row>
    <row r="151" spans="1:2" x14ac:dyDescent="0.25">
      <c r="A151" s="30" t="s">
        <v>302</v>
      </c>
      <c r="B151" s="32" t="s">
        <v>303</v>
      </c>
    </row>
    <row r="152" spans="1:2" x14ac:dyDescent="0.25">
      <c r="A152" s="30" t="s">
        <v>304</v>
      </c>
      <c r="B152" s="32" t="s">
        <v>305</v>
      </c>
    </row>
    <row r="153" spans="1:2" x14ac:dyDescent="0.25">
      <c r="A153" s="30" t="s">
        <v>306</v>
      </c>
      <c r="B153" s="32" t="s">
        <v>307</v>
      </c>
    </row>
    <row r="154" spans="1:2" x14ac:dyDescent="0.25">
      <c r="A154" s="30" t="s">
        <v>308</v>
      </c>
      <c r="B154" s="32" t="s">
        <v>309</v>
      </c>
    </row>
    <row r="155" spans="1:2" x14ac:dyDescent="0.25">
      <c r="A155" s="30" t="s">
        <v>310</v>
      </c>
      <c r="B155" s="32" t="s">
        <v>311</v>
      </c>
    </row>
    <row r="156" spans="1:2" x14ac:dyDescent="0.25">
      <c r="A156" s="30" t="s">
        <v>312</v>
      </c>
      <c r="B156" s="32" t="s">
        <v>313</v>
      </c>
    </row>
    <row r="157" spans="1:2" x14ac:dyDescent="0.25">
      <c r="A157" s="30" t="s">
        <v>314</v>
      </c>
      <c r="B157" s="32" t="s">
        <v>315</v>
      </c>
    </row>
    <row r="158" spans="1:2" x14ac:dyDescent="0.25">
      <c r="A158" s="30" t="s">
        <v>316</v>
      </c>
      <c r="B158" s="32" t="s">
        <v>317</v>
      </c>
    </row>
    <row r="159" spans="1:2" x14ac:dyDescent="0.25">
      <c r="A159" s="30" t="s">
        <v>318</v>
      </c>
      <c r="B159" s="32" t="s">
        <v>319</v>
      </c>
    </row>
    <row r="160" spans="1:2" x14ac:dyDescent="0.25">
      <c r="A160" s="30" t="s">
        <v>320</v>
      </c>
      <c r="B160" s="32" t="s">
        <v>321</v>
      </c>
    </row>
    <row r="161" spans="1:2" x14ac:dyDescent="0.25">
      <c r="A161" s="30" t="s">
        <v>322</v>
      </c>
      <c r="B161" s="32" t="s">
        <v>323</v>
      </c>
    </row>
    <row r="162" spans="1:2" x14ac:dyDescent="0.25">
      <c r="A162" s="30" t="s">
        <v>324</v>
      </c>
      <c r="B162" s="32" t="s">
        <v>325</v>
      </c>
    </row>
    <row r="163" spans="1:2" x14ac:dyDescent="0.25">
      <c r="A163" s="30" t="s">
        <v>326</v>
      </c>
      <c r="B163" s="32" t="s">
        <v>327</v>
      </c>
    </row>
    <row r="164" spans="1:2" x14ac:dyDescent="0.25">
      <c r="A164" s="30" t="s">
        <v>328</v>
      </c>
      <c r="B164" s="32" t="s">
        <v>329</v>
      </c>
    </row>
    <row r="165" spans="1:2" x14ac:dyDescent="0.25">
      <c r="A165" s="30" t="s">
        <v>330</v>
      </c>
      <c r="B165" s="32" t="s">
        <v>331</v>
      </c>
    </row>
    <row r="166" spans="1:2" x14ac:dyDescent="0.25">
      <c r="A166" s="30" t="s">
        <v>332</v>
      </c>
      <c r="B166" s="32" t="s">
        <v>333</v>
      </c>
    </row>
    <row r="167" spans="1:2" x14ac:dyDescent="0.25">
      <c r="A167" s="30" t="s">
        <v>334</v>
      </c>
      <c r="B167" s="32" t="s">
        <v>335</v>
      </c>
    </row>
    <row r="168" spans="1:2" x14ac:dyDescent="0.25">
      <c r="A168" s="30" t="s">
        <v>336</v>
      </c>
      <c r="B168" s="32" t="s">
        <v>337</v>
      </c>
    </row>
    <row r="169" spans="1:2" x14ac:dyDescent="0.25">
      <c r="A169" s="30" t="s">
        <v>338</v>
      </c>
      <c r="B169" s="32" t="s">
        <v>339</v>
      </c>
    </row>
    <row r="170" spans="1:2" x14ac:dyDescent="0.25">
      <c r="A170" s="30" t="s">
        <v>340</v>
      </c>
      <c r="B170" s="32"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9AD25-5447-46AF-964C-4F6026B823DE}">
  <ds:schemaRef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3352a50b-fe51-4c0c-a9ac-ac90f8281031"/>
    <ds:schemaRef ds:uri="http://schemas.microsoft.com/office/2006/documentManagement/types"/>
    <ds:schemaRef ds:uri="http://schemas.microsoft.com/office/infopath/2007/PartnerControls"/>
    <ds:schemaRef ds:uri="9dc44b34-9e2b-42ea-86f7-9ee7f71036fc"/>
    <ds:schemaRef ds:uri="http://www.w3.org/XML/1998/namespace"/>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51</vt:i4>
      </vt:variant>
    </vt:vector>
  </HeadingPairs>
  <TitlesOfParts>
    <vt:vector size="59" baseType="lpstr">
      <vt:lpstr>coûts unitaires</vt:lpstr>
      <vt:lpstr>Répartition_Final</vt:lpstr>
      <vt:lpstr>PTA Initial OBS</vt:lpstr>
      <vt:lpstr>1) RF par produit</vt:lpstr>
      <vt:lpstr>2) RF par categorie budgetaire</vt:lpstr>
      <vt:lpstr>3) Pour utilisation par MPTFO</vt:lpstr>
      <vt:lpstr>Dropdowns</vt:lpstr>
      <vt:lpstr>Sheet2</vt:lpstr>
      <vt:lpstr>Répartition_Final!_ftn1</vt:lpstr>
      <vt:lpstr>Répartition_Final!_ftn2</vt:lpstr>
      <vt:lpstr>Répartition_Final!_ftnref2</vt:lpstr>
      <vt:lpstr>Répartition_Final!_ftnref3</vt:lpstr>
      <vt:lpstr>affichegdnb</vt:lpstr>
      <vt:lpstr>annonceradio</vt:lpstr>
      <vt:lpstr>appelindemn</vt:lpstr>
      <vt:lpstr>applicform</vt:lpstr>
      <vt:lpstr>boost</vt:lpstr>
      <vt:lpstr>change</vt:lpstr>
      <vt:lpstr>connexapprenants</vt:lpstr>
      <vt:lpstr>delairoute</vt:lpstr>
      <vt:lpstr>depladist</vt:lpstr>
      <vt:lpstr>deplanat</vt:lpstr>
      <vt:lpstr>deplareg</vt:lpstr>
      <vt:lpstr>depliantgdnb</vt:lpstr>
      <vt:lpstr>doccoul</vt:lpstr>
      <vt:lpstr>docnb</vt:lpstr>
      <vt:lpstr>formindemn</vt:lpstr>
      <vt:lpstr>formindemnobs</vt:lpstr>
      <vt:lpstr>fournituresatelier</vt:lpstr>
      <vt:lpstr>goodies</vt:lpstr>
      <vt:lpstr>infographiste</vt:lpstr>
      <vt:lpstr>juristes</vt:lpstr>
      <vt:lpstr>numeroverts</vt:lpstr>
      <vt:lpstr>obsformindemn</vt:lpstr>
      <vt:lpstr>OBSindemn</vt:lpstr>
      <vt:lpstr>perdiemdist</vt:lpstr>
      <vt:lpstr>perdiemnat</vt:lpstr>
      <vt:lpstr>perdiemreg</vt:lpstr>
      <vt:lpstr>Répartition_Final!Personnel</vt:lpstr>
      <vt:lpstr>photodessin</vt:lpstr>
      <vt:lpstr>radioreportprod</vt:lpstr>
      <vt:lpstr>reportprod</vt:lpstr>
      <vt:lpstr>restodist</vt:lpstr>
      <vt:lpstr>restonat</vt:lpstr>
      <vt:lpstr>restoreg</vt:lpstr>
      <vt:lpstr>RSOCindemn</vt:lpstr>
      <vt:lpstr>RSOFindemn</vt:lpstr>
      <vt:lpstr>salle</vt:lpstr>
      <vt:lpstr>sallenat</vt:lpstr>
      <vt:lpstr>sallereg</vt:lpstr>
      <vt:lpstr>smsOBS</vt:lpstr>
      <vt:lpstr>spot</vt:lpstr>
      <vt:lpstr>spotradiodif</vt:lpstr>
      <vt:lpstr>spottvdif</vt:lpstr>
      <vt:lpstr>tadindemn</vt:lpstr>
      <vt:lpstr>teleconseiller</vt:lpstr>
      <vt:lpstr>tvreportprod</vt:lpstr>
      <vt:lpstr>tvreportprodnat</vt:lpstr>
      <vt:lpstr>tvreportprodreg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2021-11-24T16:08:19Z</cp:lastPrinted>
  <dcterms:created xsi:type="dcterms:W3CDTF">2017-11-15T21:17:43Z</dcterms:created>
  <dcterms:modified xsi:type="dcterms:W3CDTF">2021-11-25T06:51:18Z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