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NAREDD04\Documents\FONAREDD\Documents projets\BANQUE MONDIALE\Mai Ndombe\PTBA\"/>
    </mc:Choice>
  </mc:AlternateContent>
  <xr:revisionPtr revIDLastSave="0" documentId="10_ncr:100000_{76F968F2-4E7E-4355-922E-F49E4E0C2B18}" xr6:coauthVersionLast="31" xr6:coauthVersionMax="31" xr10:uidLastSave="{00000000-0000-0000-0000-000000000000}"/>
  <bookViews>
    <workbookView xWindow="0" yWindow="0" windowWidth="19200" windowHeight="6670" activeTab="3" xr2:uid="{00000000-000D-0000-FFFF-FFFF00000000}"/>
  </bookViews>
  <sheets>
    <sheet name="PTBA ALE PIF" sheetId="5" r:id="rId1"/>
    <sheet name="PTBA ALE" sheetId="3" r:id="rId2"/>
    <sheet name="Tableaux &amp; Graphiques" sheetId="4" r:id="rId3"/>
    <sheet name="Chronogramme" sheetId="2" r:id="rId4"/>
  </sheets>
  <definedNames>
    <definedName name="Avance1">#REF!</definedName>
    <definedName name="Avance2">#REF!</definedName>
    <definedName name="CotisMedic">#REF!</definedName>
    <definedName name="IndLog">#REF!</definedName>
    <definedName name="IndTransp">#REF!</definedName>
    <definedName name="INPP">#REF!</definedName>
    <definedName name="INSS35">#REF!</definedName>
    <definedName name="INSS5">#REF!</definedName>
    <definedName name="IPR">#REF!</definedName>
    <definedName name="MOD">#REF!</definedName>
    <definedName name="OverhCons">#REF!</definedName>
    <definedName name="OverhSal">#REF!</definedName>
    <definedName name="PrimeRepas">#REF!</definedName>
    <definedName name="TVA">#REF!</definedName>
    <definedName name="_xlnm.Print_Area" localSheetId="1">'PTBA ALE'!$A$2:$P$121</definedName>
    <definedName name="_xlnm.Print_Area" localSheetId="0">'PTBA ALE PIF'!$B$118:$R$129</definedName>
  </definedNames>
  <calcPr calcId="179017"/>
</workbook>
</file>

<file path=xl/calcChain.xml><?xml version="1.0" encoding="utf-8"?>
<calcChain xmlns="http://schemas.openxmlformats.org/spreadsheetml/2006/main">
  <c r="O120" i="5" l="1"/>
  <c r="P120" i="5"/>
  <c r="N120" i="5"/>
  <c r="Q122" i="5"/>
  <c r="R122" i="5" s="1"/>
  <c r="Q123" i="5"/>
  <c r="R123" i="5" s="1"/>
  <c r="Q124" i="5"/>
  <c r="R124" i="5" s="1"/>
  <c r="Q125" i="5"/>
  <c r="R125" i="5" s="1"/>
  <c r="Q126" i="5"/>
  <c r="R126" i="5" s="1"/>
  <c r="Q121" i="5"/>
  <c r="R121" i="5" s="1"/>
  <c r="Q113" i="5"/>
  <c r="K122" i="5"/>
  <c r="K123" i="5"/>
  <c r="K124" i="5"/>
  <c r="K125" i="5"/>
  <c r="K126" i="5"/>
  <c r="K127" i="5"/>
  <c r="K121" i="5"/>
  <c r="J120" i="5"/>
  <c r="L120" i="5"/>
  <c r="I120" i="5"/>
  <c r="Q120" i="5" l="1"/>
  <c r="R120" i="5" s="1"/>
  <c r="K120" i="5"/>
  <c r="L118" i="5"/>
  <c r="L117" i="5"/>
  <c r="L116" i="5"/>
  <c r="L115" i="5"/>
  <c r="Q114" i="5"/>
  <c r="L114" i="5"/>
  <c r="I114" i="5"/>
  <c r="L113" i="5"/>
  <c r="I113" i="5"/>
  <c r="L112" i="5"/>
  <c r="L111" i="5"/>
  <c r="Q110" i="5"/>
  <c r="J110" i="5" s="1"/>
  <c r="L110" i="5"/>
  <c r="I110" i="5"/>
  <c r="I111" i="5" s="1"/>
  <c r="L109" i="5"/>
  <c r="L108" i="5"/>
  <c r="I108" i="5"/>
  <c r="Q107" i="5"/>
  <c r="L107" i="5"/>
  <c r="I107" i="5"/>
  <c r="L106" i="5"/>
  <c r="L105" i="5"/>
  <c r="Q104" i="5"/>
  <c r="L104" i="5"/>
  <c r="I104" i="5"/>
  <c r="Q103" i="5"/>
  <c r="L103" i="5"/>
  <c r="I103" i="5"/>
  <c r="P102" i="5"/>
  <c r="Q102" i="5" s="1"/>
  <c r="L102" i="5"/>
  <c r="I102" i="5"/>
  <c r="Q101" i="5"/>
  <c r="L101" i="5"/>
  <c r="I101" i="5"/>
  <c r="Q100" i="5"/>
  <c r="L100" i="5"/>
  <c r="I100" i="5"/>
  <c r="L99" i="5"/>
  <c r="L98" i="5"/>
  <c r="Q97" i="5"/>
  <c r="L97" i="5"/>
  <c r="I97" i="5"/>
  <c r="Q96" i="5"/>
  <c r="L96" i="5"/>
  <c r="I96" i="5"/>
  <c r="Q95" i="5"/>
  <c r="L95" i="5"/>
  <c r="I95" i="5"/>
  <c r="Q94" i="5"/>
  <c r="J94" i="5" s="1"/>
  <c r="L94" i="5"/>
  <c r="I94" i="5"/>
  <c r="Q93" i="5"/>
  <c r="J93" i="5" s="1"/>
  <c r="L93" i="5"/>
  <c r="I93" i="5"/>
  <c r="Q92" i="5"/>
  <c r="J92" i="5" s="1"/>
  <c r="L92" i="5"/>
  <c r="I92" i="5"/>
  <c r="Q91" i="5"/>
  <c r="J91" i="5" s="1"/>
  <c r="L91" i="5"/>
  <c r="I91" i="5"/>
  <c r="P90" i="5"/>
  <c r="Q90" i="5" s="1"/>
  <c r="L90" i="5"/>
  <c r="I90" i="5"/>
  <c r="L89" i="5"/>
  <c r="L88" i="5"/>
  <c r="Q87" i="5"/>
  <c r="J87" i="5" s="1"/>
  <c r="L87" i="5"/>
  <c r="I87" i="5"/>
  <c r="Q86" i="5"/>
  <c r="J86" i="5" s="1"/>
  <c r="L86" i="5"/>
  <c r="I86" i="5"/>
  <c r="L85" i="5"/>
  <c r="I85" i="5"/>
  <c r="L84" i="5"/>
  <c r="L83" i="5"/>
  <c r="Q82" i="5"/>
  <c r="J82" i="5" s="1"/>
  <c r="L82" i="5"/>
  <c r="I82" i="5"/>
  <c r="Q81" i="5"/>
  <c r="L81" i="5"/>
  <c r="I81" i="5"/>
  <c r="Q80" i="5"/>
  <c r="J80" i="5" s="1"/>
  <c r="L80" i="5"/>
  <c r="I80" i="5"/>
  <c r="Q78" i="5"/>
  <c r="J78" i="5" s="1"/>
  <c r="L78" i="5"/>
  <c r="I78" i="5"/>
  <c r="Q77" i="5"/>
  <c r="J77" i="5" s="1"/>
  <c r="L77" i="5"/>
  <c r="I77" i="5"/>
  <c r="Q76" i="5"/>
  <c r="L76" i="5"/>
  <c r="I76" i="5"/>
  <c r="L75" i="5"/>
  <c r="L74" i="5"/>
  <c r="L73" i="5"/>
  <c r="P72" i="5"/>
  <c r="Q72" i="5" s="1"/>
  <c r="L72" i="5"/>
  <c r="I72" i="5"/>
  <c r="Q71" i="5"/>
  <c r="J71" i="5" s="1"/>
  <c r="L71" i="5"/>
  <c r="I71" i="5"/>
  <c r="Q70" i="5"/>
  <c r="L70" i="5"/>
  <c r="I70" i="5"/>
  <c r="P69" i="5"/>
  <c r="Q69" i="5" s="1"/>
  <c r="L69" i="5"/>
  <c r="I69" i="5"/>
  <c r="P68" i="5"/>
  <c r="Q68" i="5" s="1"/>
  <c r="L68" i="5"/>
  <c r="I68" i="5"/>
  <c r="P67" i="5"/>
  <c r="Q67" i="5" s="1"/>
  <c r="L67" i="5"/>
  <c r="I67" i="5"/>
  <c r="P66" i="5"/>
  <c r="Q66" i="5" s="1"/>
  <c r="J66" i="5" s="1"/>
  <c r="L66" i="5"/>
  <c r="I66" i="5"/>
  <c r="P65" i="5"/>
  <c r="Q65" i="5" s="1"/>
  <c r="L65" i="5"/>
  <c r="I65" i="5"/>
  <c r="P64" i="5"/>
  <c r="Q64" i="5" s="1"/>
  <c r="L64" i="5"/>
  <c r="I64" i="5"/>
  <c r="P63" i="5"/>
  <c r="Q63" i="5" s="1"/>
  <c r="L63" i="5"/>
  <c r="I63" i="5"/>
  <c r="L62" i="5"/>
  <c r="L61" i="5"/>
  <c r="Q60" i="5"/>
  <c r="J60" i="5" s="1"/>
  <c r="L60" i="5"/>
  <c r="I60" i="5"/>
  <c r="O59" i="5"/>
  <c r="Q59" i="5" s="1"/>
  <c r="L59" i="5"/>
  <c r="I59" i="5"/>
  <c r="P58" i="5"/>
  <c r="Q58" i="5" s="1"/>
  <c r="J58" i="5" s="1"/>
  <c r="L58" i="5"/>
  <c r="I58" i="5"/>
  <c r="P57" i="5"/>
  <c r="Q57" i="5" s="1"/>
  <c r="L57" i="5"/>
  <c r="I57" i="5"/>
  <c r="P56" i="5"/>
  <c r="Q56" i="5" s="1"/>
  <c r="L56" i="5"/>
  <c r="I56" i="5"/>
  <c r="Q55" i="5"/>
  <c r="L55" i="5"/>
  <c r="I55" i="5"/>
  <c r="Q54" i="5"/>
  <c r="L54" i="5"/>
  <c r="I54" i="5"/>
  <c r="Q53" i="5"/>
  <c r="L53" i="5"/>
  <c r="I53" i="5"/>
  <c r="L52" i="5"/>
  <c r="L50" i="5"/>
  <c r="P49" i="5"/>
  <c r="O49" i="5"/>
  <c r="N49" i="5"/>
  <c r="L49" i="5"/>
  <c r="I49" i="5"/>
  <c r="P48" i="5"/>
  <c r="O48" i="5"/>
  <c r="N48" i="5"/>
  <c r="L48" i="5"/>
  <c r="I48" i="5"/>
  <c r="P47" i="5"/>
  <c r="O47" i="5"/>
  <c r="N47" i="5"/>
  <c r="L47" i="5"/>
  <c r="I47" i="5"/>
  <c r="P46" i="5"/>
  <c r="O46" i="5"/>
  <c r="L46" i="5"/>
  <c r="I46" i="5"/>
  <c r="P45" i="5"/>
  <c r="O45" i="5"/>
  <c r="L45" i="5"/>
  <c r="I45" i="5"/>
  <c r="P44" i="5"/>
  <c r="Q44" i="5" s="1"/>
  <c r="L44" i="5"/>
  <c r="I44" i="5"/>
  <c r="P43" i="5"/>
  <c r="O43" i="5"/>
  <c r="N43" i="5"/>
  <c r="L43" i="5"/>
  <c r="I43" i="5"/>
  <c r="P42" i="5"/>
  <c r="O42" i="5"/>
  <c r="L42" i="5"/>
  <c r="I42" i="5"/>
  <c r="P41" i="5"/>
  <c r="O41" i="5"/>
  <c r="L41" i="5"/>
  <c r="I41" i="5"/>
  <c r="P40" i="5"/>
  <c r="O40" i="5"/>
  <c r="N40" i="5"/>
  <c r="L40" i="5"/>
  <c r="I40" i="5"/>
  <c r="L39" i="5"/>
  <c r="L38" i="5"/>
  <c r="Q37" i="5"/>
  <c r="L37" i="5"/>
  <c r="I37" i="5"/>
  <c r="Q36" i="5"/>
  <c r="L36" i="5"/>
  <c r="I36" i="5"/>
  <c r="O35" i="5"/>
  <c r="Q35" i="5" s="1"/>
  <c r="L35" i="5"/>
  <c r="I35" i="5"/>
  <c r="Q34" i="5"/>
  <c r="J34" i="5" s="1"/>
  <c r="L34" i="5"/>
  <c r="I34" i="5"/>
  <c r="Q33" i="5"/>
  <c r="L33" i="5"/>
  <c r="I33" i="5"/>
  <c r="Q32" i="5"/>
  <c r="L32" i="5"/>
  <c r="I32" i="5"/>
  <c r="Q31" i="5"/>
  <c r="L31" i="5"/>
  <c r="I31" i="5"/>
  <c r="Q30" i="5"/>
  <c r="J30" i="5" s="1"/>
  <c r="L30" i="5"/>
  <c r="I30" i="5"/>
  <c r="P29" i="5"/>
  <c r="O29" i="5"/>
  <c r="L29" i="5"/>
  <c r="I29" i="5"/>
  <c r="Q28" i="5"/>
  <c r="J28" i="5" s="1"/>
  <c r="L28" i="5"/>
  <c r="I28" i="5"/>
  <c r="L27" i="5"/>
  <c r="L26" i="5"/>
  <c r="J26" i="5"/>
  <c r="K26" i="5" s="1"/>
  <c r="L25" i="5"/>
  <c r="L24" i="5"/>
  <c r="L23" i="5"/>
  <c r="P22" i="5"/>
  <c r="O22" i="5"/>
  <c r="L22" i="5"/>
  <c r="I22" i="5"/>
  <c r="P21" i="5"/>
  <c r="O21" i="5"/>
  <c r="L21" i="5"/>
  <c r="I21" i="5"/>
  <c r="I23" i="5" s="1"/>
  <c r="L20" i="5"/>
  <c r="L19" i="5"/>
  <c r="H19" i="5"/>
  <c r="G19" i="5"/>
  <c r="Q18" i="5"/>
  <c r="L18" i="5"/>
  <c r="I18" i="5"/>
  <c r="P17" i="5"/>
  <c r="O17" i="5"/>
  <c r="L17" i="5"/>
  <c r="I17" i="5"/>
  <c r="L16" i="5"/>
  <c r="L15" i="5"/>
  <c r="H15" i="5"/>
  <c r="P14" i="5"/>
  <c r="O14" i="5"/>
  <c r="L14" i="5"/>
  <c r="I14" i="5"/>
  <c r="P13" i="5"/>
  <c r="O13" i="5"/>
  <c r="L13" i="5"/>
  <c r="I13" i="5"/>
  <c r="P12" i="5"/>
  <c r="O12" i="5"/>
  <c r="L12" i="5"/>
  <c r="I12" i="5"/>
  <c r="P11" i="5"/>
  <c r="O11" i="5"/>
  <c r="L11" i="5"/>
  <c r="I11" i="5"/>
  <c r="P10" i="5"/>
  <c r="O10" i="5"/>
  <c r="L10" i="5"/>
  <c r="I10" i="5"/>
  <c r="P9" i="5"/>
  <c r="O9" i="5"/>
  <c r="L9" i="5"/>
  <c r="I9" i="5"/>
  <c r="I15" i="5" s="1"/>
  <c r="P5" i="5"/>
  <c r="O5" i="5"/>
  <c r="Q3" i="5"/>
  <c r="I73" i="5" l="1"/>
  <c r="I19" i="5"/>
  <c r="N118" i="5"/>
  <c r="Q9" i="5"/>
  <c r="R9" i="5" s="1"/>
  <c r="Q10" i="5"/>
  <c r="J10" i="5" s="1"/>
  <c r="R31" i="5"/>
  <c r="Q42" i="5"/>
  <c r="R42" i="5" s="1"/>
  <c r="Q43" i="5"/>
  <c r="J43" i="5" s="1"/>
  <c r="K43" i="5" s="1"/>
  <c r="Q45" i="5"/>
  <c r="Q46" i="5"/>
  <c r="R46" i="5" s="1"/>
  <c r="I98" i="5"/>
  <c r="I83" i="5"/>
  <c r="P85" i="5"/>
  <c r="Q85" i="5" s="1"/>
  <c r="I88" i="5"/>
  <c r="I105" i="5"/>
  <c r="I61" i="5"/>
  <c r="K71" i="5"/>
  <c r="R101" i="5"/>
  <c r="R113" i="5"/>
  <c r="I115" i="5"/>
  <c r="K92" i="5"/>
  <c r="R68" i="5"/>
  <c r="J68" i="5"/>
  <c r="K68" i="5" s="1"/>
  <c r="Q22" i="5"/>
  <c r="R22" i="5" s="1"/>
  <c r="K30" i="5"/>
  <c r="K34" i="5"/>
  <c r="Q12" i="5"/>
  <c r="J12" i="5" s="1"/>
  <c r="K12" i="5" s="1"/>
  <c r="Q14" i="5"/>
  <c r="R14" i="5" s="1"/>
  <c r="R71" i="5"/>
  <c r="K77" i="5"/>
  <c r="R86" i="5"/>
  <c r="R77" i="5"/>
  <c r="R104" i="5"/>
  <c r="R32" i="5"/>
  <c r="R34" i="5"/>
  <c r="J101" i="5"/>
  <c r="K101" i="5" s="1"/>
  <c r="R107" i="5"/>
  <c r="R69" i="5"/>
  <c r="J69" i="5"/>
  <c r="K69" i="5" s="1"/>
  <c r="K82" i="5"/>
  <c r="Q29" i="5"/>
  <c r="J29" i="5" s="1"/>
  <c r="K29" i="5" s="1"/>
  <c r="K80" i="5"/>
  <c r="R96" i="5"/>
  <c r="J104" i="5"/>
  <c r="K104" i="5" s="1"/>
  <c r="J107" i="5"/>
  <c r="K107" i="5" s="1"/>
  <c r="K110" i="5"/>
  <c r="R114" i="5"/>
  <c r="Q11" i="5"/>
  <c r="J11" i="5" s="1"/>
  <c r="K11" i="5" s="1"/>
  <c r="J31" i="5"/>
  <c r="K31" i="5" s="1"/>
  <c r="J32" i="5"/>
  <c r="K32" i="5" s="1"/>
  <c r="Q48" i="5"/>
  <c r="J48" i="5" s="1"/>
  <c r="K48" i="5" s="1"/>
  <c r="K58" i="5"/>
  <c r="K60" i="5"/>
  <c r="R92" i="5"/>
  <c r="J114" i="5"/>
  <c r="K114" i="5" s="1"/>
  <c r="K10" i="5"/>
  <c r="Q13" i="5"/>
  <c r="R13" i="5" s="1"/>
  <c r="R64" i="5"/>
  <c r="K94" i="5"/>
  <c r="R94" i="5"/>
  <c r="R110" i="5"/>
  <c r="R57" i="5"/>
  <c r="J57" i="5"/>
  <c r="K57" i="5" s="1"/>
  <c r="J9" i="5"/>
  <c r="K9" i="5" s="1"/>
  <c r="J56" i="5"/>
  <c r="K56" i="5" s="1"/>
  <c r="R56" i="5"/>
  <c r="R65" i="5"/>
  <c r="J65" i="5"/>
  <c r="K65" i="5" s="1"/>
  <c r="R10" i="5"/>
  <c r="Q41" i="5"/>
  <c r="R41" i="5" s="1"/>
  <c r="J64" i="5"/>
  <c r="K64" i="5" s="1"/>
  <c r="K91" i="5"/>
  <c r="J96" i="5"/>
  <c r="K96" i="5" s="1"/>
  <c r="R30" i="5"/>
  <c r="Q47" i="5"/>
  <c r="R47" i="5" s="1"/>
  <c r="Q49" i="5"/>
  <c r="J49" i="5" s="1"/>
  <c r="K49" i="5" s="1"/>
  <c r="R60" i="5"/>
  <c r="K86" i="5"/>
  <c r="R93" i="5"/>
  <c r="Q111" i="5"/>
  <c r="R111" i="5" s="1"/>
  <c r="Q21" i="5"/>
  <c r="R21" i="5" s="1"/>
  <c r="R36" i="5"/>
  <c r="K78" i="5"/>
  <c r="R80" i="5"/>
  <c r="R82" i="5"/>
  <c r="R44" i="5"/>
  <c r="J44" i="5"/>
  <c r="K44" i="5" s="1"/>
  <c r="R91" i="5"/>
  <c r="R97" i="5"/>
  <c r="J97" i="5"/>
  <c r="K97" i="5" s="1"/>
  <c r="R103" i="5"/>
  <c r="J103" i="5"/>
  <c r="K103" i="5" s="1"/>
  <c r="J33" i="5"/>
  <c r="K33" i="5" s="1"/>
  <c r="R33" i="5"/>
  <c r="R45" i="5"/>
  <c r="J45" i="5"/>
  <c r="K45" i="5" s="1"/>
  <c r="R66" i="5"/>
  <c r="R70" i="5"/>
  <c r="J70" i="5"/>
  <c r="K70" i="5" s="1"/>
  <c r="Q5" i="5"/>
  <c r="R53" i="5"/>
  <c r="J53" i="5"/>
  <c r="K53" i="5" s="1"/>
  <c r="R59" i="5"/>
  <c r="J59" i="5"/>
  <c r="K59" i="5" s="1"/>
  <c r="K66" i="5"/>
  <c r="R87" i="5"/>
  <c r="J18" i="5"/>
  <c r="K18" i="5" s="1"/>
  <c r="R18" i="5"/>
  <c r="I38" i="5"/>
  <c r="R67" i="5"/>
  <c r="J67" i="5"/>
  <c r="K67" i="5" s="1"/>
  <c r="Q83" i="5"/>
  <c r="J76" i="5"/>
  <c r="K76" i="5" s="1"/>
  <c r="R78" i="5"/>
  <c r="J81" i="5"/>
  <c r="K81" i="5" s="1"/>
  <c r="R81" i="5"/>
  <c r="Q115" i="5"/>
  <c r="J113" i="5"/>
  <c r="K113" i="5" s="1"/>
  <c r="R54" i="5"/>
  <c r="J54" i="5"/>
  <c r="K54" i="5" s="1"/>
  <c r="R72" i="5"/>
  <c r="J72" i="5"/>
  <c r="K72" i="5" s="1"/>
  <c r="R76" i="5"/>
  <c r="R102" i="5"/>
  <c r="J102" i="5"/>
  <c r="P108" i="5"/>
  <c r="P118" i="5" s="1"/>
  <c r="P128" i="5" s="1"/>
  <c r="O108" i="5"/>
  <c r="O118" i="5" s="1"/>
  <c r="O128" i="5" s="1"/>
  <c r="K28" i="5"/>
  <c r="R28" i="5"/>
  <c r="R35" i="5"/>
  <c r="J35" i="5"/>
  <c r="K35" i="5" s="1"/>
  <c r="Q40" i="5"/>
  <c r="J47" i="5"/>
  <c r="K47" i="5" s="1"/>
  <c r="R58" i="5"/>
  <c r="Q61" i="5"/>
  <c r="R63" i="5"/>
  <c r="J63" i="5"/>
  <c r="K63" i="5" s="1"/>
  <c r="Q73" i="5"/>
  <c r="Q88" i="5"/>
  <c r="R85" i="5"/>
  <c r="J85" i="5"/>
  <c r="K87" i="5"/>
  <c r="J95" i="5"/>
  <c r="K95" i="5" s="1"/>
  <c r="R95" i="5"/>
  <c r="I109" i="5"/>
  <c r="R55" i="5"/>
  <c r="J55" i="5"/>
  <c r="K55" i="5" s="1"/>
  <c r="K102" i="5"/>
  <c r="Q17" i="5"/>
  <c r="J36" i="5"/>
  <c r="K36" i="5" s="1"/>
  <c r="R37" i="5"/>
  <c r="J37" i="5"/>
  <c r="K37" i="5" s="1"/>
  <c r="I50" i="5"/>
  <c r="R90" i="5"/>
  <c r="Q98" i="5"/>
  <c r="J90" i="5"/>
  <c r="K90" i="5" s="1"/>
  <c r="K93" i="5"/>
  <c r="R100" i="5"/>
  <c r="J100" i="5"/>
  <c r="K100" i="5" s="1"/>
  <c r="Q105" i="5"/>
  <c r="R43" i="5" l="1"/>
  <c r="J46" i="5"/>
  <c r="K46" i="5" s="1"/>
  <c r="R12" i="5"/>
  <c r="J42" i="5"/>
  <c r="K42" i="5" s="1"/>
  <c r="J13" i="5"/>
  <c r="K13" i="5" s="1"/>
  <c r="P130" i="5"/>
  <c r="O130" i="5"/>
  <c r="R11" i="5"/>
  <c r="R48" i="5"/>
  <c r="J22" i="5"/>
  <c r="K22" i="5" s="1"/>
  <c r="J14" i="5"/>
  <c r="K14" i="5" s="1"/>
  <c r="J21" i="5"/>
  <c r="K21" i="5" s="1"/>
  <c r="N119" i="5"/>
  <c r="O119" i="5" s="1"/>
  <c r="P119" i="5" s="1"/>
  <c r="N128" i="5"/>
  <c r="N130" i="5" s="1"/>
  <c r="Q23" i="5"/>
  <c r="J23" i="5" s="1"/>
  <c r="K23" i="5" s="1"/>
  <c r="Q15" i="5"/>
  <c r="R15" i="5" s="1"/>
  <c r="R49" i="5"/>
  <c r="Q38" i="5"/>
  <c r="R38" i="5" s="1"/>
  <c r="J41" i="5"/>
  <c r="K41" i="5" s="1"/>
  <c r="R29" i="5"/>
  <c r="J111" i="5"/>
  <c r="K111" i="5" s="1"/>
  <c r="R98" i="5"/>
  <c r="J98" i="5"/>
  <c r="K98" i="5" s="1"/>
  <c r="J88" i="5"/>
  <c r="K85" i="5"/>
  <c r="K88" i="5" s="1"/>
  <c r="R88" i="5"/>
  <c r="Q50" i="5"/>
  <c r="R40" i="5"/>
  <c r="J40" i="5"/>
  <c r="K40" i="5" s="1"/>
  <c r="J83" i="5"/>
  <c r="K83" i="5" s="1"/>
  <c r="R83" i="5"/>
  <c r="R5" i="5"/>
  <c r="R6" i="5" s="1"/>
  <c r="J5" i="5"/>
  <c r="K5" i="5" s="1"/>
  <c r="Q6" i="5"/>
  <c r="Q19" i="5"/>
  <c r="R17" i="5"/>
  <c r="J17" i="5"/>
  <c r="K17" i="5" s="1"/>
  <c r="J105" i="5"/>
  <c r="K105" i="5" s="1"/>
  <c r="R105" i="5"/>
  <c r="J73" i="5"/>
  <c r="K73" i="5" s="1"/>
  <c r="R73" i="5"/>
  <c r="R61" i="5"/>
  <c r="J61" i="5"/>
  <c r="K61" i="5" s="1"/>
  <c r="Q108" i="5"/>
  <c r="I116" i="5"/>
  <c r="J115" i="5"/>
  <c r="K115" i="5" s="1"/>
  <c r="R115" i="5"/>
  <c r="I24" i="5"/>
  <c r="I36" i="3"/>
  <c r="I32" i="3"/>
  <c r="R23" i="5" l="1"/>
  <c r="I117" i="5"/>
  <c r="J38" i="5"/>
  <c r="K38" i="5" s="1"/>
  <c r="J15" i="5"/>
  <c r="K15" i="5" s="1"/>
  <c r="J19" i="5"/>
  <c r="K19" i="5" s="1"/>
  <c r="R19" i="5"/>
  <c r="J108" i="5"/>
  <c r="K108" i="5" s="1"/>
  <c r="R108" i="5"/>
  <c r="Q109" i="5"/>
  <c r="R50" i="5"/>
  <c r="J50" i="5"/>
  <c r="K50" i="5" s="1"/>
  <c r="Q24" i="5"/>
  <c r="I31" i="3"/>
  <c r="I118" i="5" l="1"/>
  <c r="I128" i="5" s="1"/>
  <c r="R109" i="5"/>
  <c r="J109" i="5"/>
  <c r="K109" i="5" s="1"/>
  <c r="Q116" i="5"/>
  <c r="Q117" i="5" s="1"/>
  <c r="Q118" i="5" s="1"/>
  <c r="R24" i="5"/>
  <c r="J24" i="5"/>
  <c r="K24" i="5" s="1"/>
  <c r="I130" i="5" l="1"/>
  <c r="R116" i="5"/>
  <c r="J116" i="5"/>
  <c r="P56" i="3"/>
  <c r="Q56" i="3" s="1"/>
  <c r="L56" i="3"/>
  <c r="I56" i="3"/>
  <c r="O5" i="3"/>
  <c r="K116" i="5" l="1"/>
  <c r="J117" i="5"/>
  <c r="J118" i="5" s="1"/>
  <c r="R117" i="5"/>
  <c r="R118" i="5" s="1"/>
  <c r="K56" i="3"/>
  <c r="R56" i="3"/>
  <c r="J56" i="3"/>
  <c r="P5" i="3"/>
  <c r="Q5" i="3"/>
  <c r="K117" i="5" l="1"/>
  <c r="K118" i="5" s="1"/>
  <c r="Q128" i="5"/>
  <c r="R5" i="3"/>
  <c r="R6" i="3" s="1"/>
  <c r="Q6" i="3"/>
  <c r="P102" i="3"/>
  <c r="P72" i="3"/>
  <c r="O29" i="3"/>
  <c r="J5" i="3"/>
  <c r="K5" i="3" s="1"/>
  <c r="R128" i="5" l="1"/>
  <c r="Q130" i="5"/>
  <c r="R130" i="5" s="1"/>
  <c r="K128" i="5"/>
  <c r="J128" i="5"/>
  <c r="P29" i="3"/>
  <c r="P69" i="3"/>
  <c r="P68" i="3"/>
  <c r="P67" i="3"/>
  <c r="K130" i="5" l="1"/>
  <c r="J130" i="5"/>
  <c r="O45" i="3"/>
  <c r="P46" i="3"/>
  <c r="O46" i="3"/>
  <c r="P22" i="3"/>
  <c r="O22" i="3"/>
  <c r="P17" i="3"/>
  <c r="O17" i="3"/>
  <c r="P90" i="3"/>
  <c r="P57" i="3"/>
  <c r="P66" i="3"/>
  <c r="P65" i="3"/>
  <c r="P64" i="3"/>
  <c r="P63" i="3"/>
  <c r="O59" i="3"/>
  <c r="P58" i="3"/>
  <c r="P49" i="3"/>
  <c r="O49" i="3"/>
  <c r="N49" i="3"/>
  <c r="P48" i="3"/>
  <c r="O48" i="3"/>
  <c r="N48" i="3"/>
  <c r="P47" i="3"/>
  <c r="O47" i="3"/>
  <c r="N47" i="3"/>
  <c r="P45" i="3"/>
  <c r="P43" i="3"/>
  <c r="O43" i="3"/>
  <c r="N43" i="3"/>
  <c r="O42" i="3"/>
  <c r="P42" i="3"/>
  <c r="O41" i="3"/>
  <c r="P41" i="3"/>
  <c r="P40" i="3"/>
  <c r="O40" i="3"/>
  <c r="N40" i="3"/>
  <c r="O35" i="3"/>
  <c r="Q31" i="3"/>
  <c r="P21" i="3"/>
  <c r="O21" i="3"/>
  <c r="O14" i="3"/>
  <c r="P10" i="3"/>
  <c r="P11" i="3"/>
  <c r="P12" i="3"/>
  <c r="P13" i="3"/>
  <c r="P14" i="3"/>
  <c r="P9" i="3"/>
  <c r="O10" i="3"/>
  <c r="O11" i="3"/>
  <c r="O12" i="3"/>
  <c r="O13" i="3"/>
  <c r="O9" i="3"/>
  <c r="N118" i="3" l="1"/>
  <c r="Q9" i="3"/>
  <c r="Q3" i="3"/>
  <c r="G10" i="4" l="1"/>
  <c r="G9" i="4"/>
  <c r="G8" i="4"/>
  <c r="G7" i="4"/>
  <c r="G6" i="4"/>
  <c r="G5" i="4"/>
  <c r="G4" i="4"/>
  <c r="G3" i="4"/>
  <c r="G2" i="4"/>
  <c r="A5" i="4"/>
  <c r="A4" i="4"/>
  <c r="A3" i="4"/>
  <c r="A2" i="4"/>
  <c r="J26" i="3" l="1"/>
  <c r="K26" i="3" s="1"/>
  <c r="Q102" i="3"/>
  <c r="Q70" i="3"/>
  <c r="Q114" i="3"/>
  <c r="Q113" i="3"/>
  <c r="Q110" i="3"/>
  <c r="Q111" i="3" s="1"/>
  <c r="Q107" i="3"/>
  <c r="Q101" i="3"/>
  <c r="Q103" i="3"/>
  <c r="Q104" i="3"/>
  <c r="Q100" i="3"/>
  <c r="Q93" i="3"/>
  <c r="Q94" i="3"/>
  <c r="Q95" i="3"/>
  <c r="Q96" i="3"/>
  <c r="Q97" i="3"/>
  <c r="Q86" i="3"/>
  <c r="Q87" i="3"/>
  <c r="Q77" i="3"/>
  <c r="Q78" i="3"/>
  <c r="Q76" i="3"/>
  <c r="Q64" i="3"/>
  <c r="Q65" i="3"/>
  <c r="Q69" i="3"/>
  <c r="Q72" i="3"/>
  <c r="Q54" i="3"/>
  <c r="Q55" i="3"/>
  <c r="Q57" i="3"/>
  <c r="Q58" i="3"/>
  <c r="Q59" i="3"/>
  <c r="Q60" i="3"/>
  <c r="Q53" i="3"/>
  <c r="Q61" i="3" s="1"/>
  <c r="P44" i="3"/>
  <c r="Q30" i="3"/>
  <c r="Q32" i="3"/>
  <c r="Q22" i="3"/>
  <c r="Q17" i="3"/>
  <c r="I114" i="3"/>
  <c r="I113" i="3"/>
  <c r="L112" i="3"/>
  <c r="I110" i="3"/>
  <c r="I108" i="3"/>
  <c r="I107" i="3"/>
  <c r="L106" i="3"/>
  <c r="I104" i="3"/>
  <c r="I103" i="3"/>
  <c r="I102" i="3"/>
  <c r="I101" i="3"/>
  <c r="I100" i="3"/>
  <c r="L99" i="3"/>
  <c r="I97" i="3"/>
  <c r="I96" i="3"/>
  <c r="I95" i="3"/>
  <c r="I94" i="3"/>
  <c r="I93" i="3"/>
  <c r="I92" i="3"/>
  <c r="I91" i="3"/>
  <c r="Q90" i="3"/>
  <c r="I90" i="3"/>
  <c r="L89" i="3"/>
  <c r="I87" i="3"/>
  <c r="I86" i="3"/>
  <c r="I85" i="3"/>
  <c r="P85" i="3" s="1"/>
  <c r="Q85" i="3" s="1"/>
  <c r="L84" i="3"/>
  <c r="I82" i="3"/>
  <c r="I81" i="3"/>
  <c r="I80" i="3"/>
  <c r="I78" i="3"/>
  <c r="I77" i="3"/>
  <c r="I76" i="3"/>
  <c r="L75" i="3"/>
  <c r="L74" i="3"/>
  <c r="I72" i="3"/>
  <c r="I71" i="3"/>
  <c r="I70" i="3"/>
  <c r="I69" i="3"/>
  <c r="Q68" i="3"/>
  <c r="I68" i="3"/>
  <c r="Q67" i="3"/>
  <c r="I67" i="3"/>
  <c r="I66" i="3"/>
  <c r="I65" i="3"/>
  <c r="I64" i="3"/>
  <c r="I63" i="3"/>
  <c r="L62" i="3"/>
  <c r="I60" i="3"/>
  <c r="I59" i="3"/>
  <c r="I58" i="3"/>
  <c r="I57" i="3"/>
  <c r="I55" i="3"/>
  <c r="I54" i="3"/>
  <c r="I53" i="3"/>
  <c r="L52" i="3"/>
  <c r="I49" i="3"/>
  <c r="I48" i="3"/>
  <c r="I47" i="3"/>
  <c r="I46" i="3"/>
  <c r="I45" i="3"/>
  <c r="I44" i="3"/>
  <c r="I43" i="3"/>
  <c r="Q42" i="3"/>
  <c r="I42" i="3"/>
  <c r="I41" i="3"/>
  <c r="I40" i="3"/>
  <c r="L39" i="3"/>
  <c r="I37" i="3"/>
  <c r="I35" i="3"/>
  <c r="I34" i="3"/>
  <c r="I33" i="3"/>
  <c r="I30" i="3"/>
  <c r="I29" i="3"/>
  <c r="I28" i="3"/>
  <c r="L27" i="3"/>
  <c r="L26" i="3"/>
  <c r="L25" i="3"/>
  <c r="I22" i="3"/>
  <c r="Q21" i="3"/>
  <c r="I21" i="3"/>
  <c r="L20" i="3"/>
  <c r="H19" i="3"/>
  <c r="G19" i="3"/>
  <c r="Q18" i="3"/>
  <c r="I18" i="3"/>
  <c r="I17" i="3"/>
  <c r="L16" i="3"/>
  <c r="H15" i="3"/>
  <c r="Q14" i="3"/>
  <c r="I14" i="3"/>
  <c r="Q13" i="3"/>
  <c r="I13" i="3"/>
  <c r="Q12" i="3"/>
  <c r="I12" i="3"/>
  <c r="Q11" i="3"/>
  <c r="I11" i="3"/>
  <c r="Q10" i="3"/>
  <c r="I10" i="3"/>
  <c r="I9" i="3"/>
  <c r="Q115" i="3" l="1"/>
  <c r="O108" i="3"/>
  <c r="O118" i="3" s="1"/>
  <c r="P108" i="3"/>
  <c r="P118" i="3" s="1"/>
  <c r="I115" i="3"/>
  <c r="H10" i="4" s="1"/>
  <c r="Q88" i="3"/>
  <c r="J10" i="3"/>
  <c r="K10" i="3" s="1"/>
  <c r="R10" i="3"/>
  <c r="J11" i="3"/>
  <c r="K11" i="3" s="1"/>
  <c r="R11" i="3"/>
  <c r="J12" i="3"/>
  <c r="K12" i="3" s="1"/>
  <c r="R12" i="3"/>
  <c r="J13" i="3"/>
  <c r="K13" i="3" s="1"/>
  <c r="R13" i="3"/>
  <c r="J14" i="3"/>
  <c r="K14" i="3" s="1"/>
  <c r="R14" i="3"/>
  <c r="J67" i="3"/>
  <c r="K67" i="3" s="1"/>
  <c r="R67" i="3"/>
  <c r="J68" i="3"/>
  <c r="K68" i="3" s="1"/>
  <c r="R68" i="3"/>
  <c r="J90" i="3"/>
  <c r="K90" i="3" s="1"/>
  <c r="R90" i="3"/>
  <c r="J60" i="3"/>
  <c r="K60" i="3" s="1"/>
  <c r="R60" i="3"/>
  <c r="J57" i="3"/>
  <c r="K57" i="3" s="1"/>
  <c r="R57" i="3"/>
  <c r="J69" i="3"/>
  <c r="K69" i="3" s="1"/>
  <c r="R69" i="3"/>
  <c r="J78" i="3"/>
  <c r="K78" i="3" s="1"/>
  <c r="R78" i="3"/>
  <c r="J86" i="3"/>
  <c r="K86" i="3" s="1"/>
  <c r="R86" i="3"/>
  <c r="J95" i="3"/>
  <c r="K95" i="3" s="1"/>
  <c r="R95" i="3"/>
  <c r="J93" i="3"/>
  <c r="K93" i="3" s="1"/>
  <c r="R93" i="3"/>
  <c r="J101" i="3"/>
  <c r="K101" i="3" s="1"/>
  <c r="R101" i="3"/>
  <c r="J113" i="3"/>
  <c r="K113" i="3" s="1"/>
  <c r="R113" i="3"/>
  <c r="R18" i="3"/>
  <c r="R42" i="3"/>
  <c r="R17" i="3"/>
  <c r="R9" i="3"/>
  <c r="J22" i="3"/>
  <c r="K22" i="3" s="1"/>
  <c r="R22" i="3"/>
  <c r="J59" i="3"/>
  <c r="K59" i="3" s="1"/>
  <c r="R59" i="3"/>
  <c r="J107" i="3"/>
  <c r="K107" i="3" s="1"/>
  <c r="R107" i="3"/>
  <c r="J21" i="3"/>
  <c r="K21" i="3" s="1"/>
  <c r="R21" i="3"/>
  <c r="J53" i="3"/>
  <c r="K53" i="3" s="1"/>
  <c r="R53" i="3"/>
  <c r="J72" i="3"/>
  <c r="K72" i="3" s="1"/>
  <c r="R72" i="3"/>
  <c r="J76" i="3"/>
  <c r="K76" i="3" s="1"/>
  <c r="R76" i="3"/>
  <c r="J87" i="3"/>
  <c r="K87" i="3" s="1"/>
  <c r="R87" i="3"/>
  <c r="J96" i="3"/>
  <c r="K96" i="3" s="1"/>
  <c r="R96" i="3"/>
  <c r="J94" i="3"/>
  <c r="K94" i="3" s="1"/>
  <c r="R94" i="3"/>
  <c r="J103" i="3"/>
  <c r="K103" i="3" s="1"/>
  <c r="R103" i="3"/>
  <c r="J110" i="3"/>
  <c r="K110" i="3" s="1"/>
  <c r="R110" i="3"/>
  <c r="J102" i="3"/>
  <c r="K102" i="3" s="1"/>
  <c r="R102" i="3"/>
  <c r="R100" i="3"/>
  <c r="J32" i="3"/>
  <c r="K32" i="3" s="1"/>
  <c r="R32" i="3"/>
  <c r="J55" i="3"/>
  <c r="K55" i="3" s="1"/>
  <c r="R55" i="3"/>
  <c r="J65" i="3"/>
  <c r="K65" i="3" s="1"/>
  <c r="R65" i="3"/>
  <c r="J77" i="3"/>
  <c r="K77" i="3" s="1"/>
  <c r="R77" i="3"/>
  <c r="J114" i="3"/>
  <c r="K114" i="3" s="1"/>
  <c r="R114" i="3"/>
  <c r="Q82" i="3"/>
  <c r="I111" i="3"/>
  <c r="H9" i="4" s="1"/>
  <c r="J30" i="3"/>
  <c r="K30" i="3" s="1"/>
  <c r="R30" i="3"/>
  <c r="J58" i="3"/>
  <c r="K58" i="3" s="1"/>
  <c r="R58" i="3"/>
  <c r="J54" i="3"/>
  <c r="K54" i="3" s="1"/>
  <c r="R54" i="3"/>
  <c r="J64" i="3"/>
  <c r="K64" i="3" s="1"/>
  <c r="R64" i="3"/>
  <c r="J85" i="3"/>
  <c r="K85" i="3" s="1"/>
  <c r="R85" i="3"/>
  <c r="J97" i="3"/>
  <c r="K97" i="3" s="1"/>
  <c r="R97" i="3"/>
  <c r="J104" i="3"/>
  <c r="K104" i="3" s="1"/>
  <c r="R104" i="3"/>
  <c r="J70" i="3"/>
  <c r="K70" i="3" s="1"/>
  <c r="R70" i="3"/>
  <c r="J17" i="3"/>
  <c r="K17" i="3" s="1"/>
  <c r="Q19" i="3"/>
  <c r="Q63" i="3"/>
  <c r="Q66" i="3"/>
  <c r="Q35" i="3"/>
  <c r="R35" i="3" s="1"/>
  <c r="R31" i="3"/>
  <c r="Q92" i="3"/>
  <c r="Q91" i="3"/>
  <c r="R91" i="3" s="1"/>
  <c r="Q71" i="3"/>
  <c r="Q105" i="3"/>
  <c r="J100" i="3"/>
  <c r="K100" i="3" s="1"/>
  <c r="J18" i="3"/>
  <c r="K18" i="3" s="1"/>
  <c r="J42" i="3"/>
  <c r="K42" i="3" s="1"/>
  <c r="Q23" i="3"/>
  <c r="Q44" i="3"/>
  <c r="R44" i="3" s="1"/>
  <c r="I23" i="3"/>
  <c r="Q43" i="3"/>
  <c r="R43" i="3" s="1"/>
  <c r="L67" i="3"/>
  <c r="I19" i="3"/>
  <c r="L31" i="3"/>
  <c r="Q40" i="3"/>
  <c r="I83" i="3"/>
  <c r="H4" i="4" s="1"/>
  <c r="L68" i="3"/>
  <c r="I15" i="3"/>
  <c r="L43" i="3"/>
  <c r="Q45" i="3"/>
  <c r="I109" i="3"/>
  <c r="H8" i="4" s="1"/>
  <c r="L63" i="3"/>
  <c r="L42" i="3"/>
  <c r="Q47" i="3"/>
  <c r="I61" i="3"/>
  <c r="H2" i="4" s="1"/>
  <c r="L66" i="3"/>
  <c r="L44" i="3"/>
  <c r="L45" i="3"/>
  <c r="I98" i="3"/>
  <c r="H6" i="4" s="1"/>
  <c r="I88" i="3"/>
  <c r="H5" i="4" s="1"/>
  <c r="Q41" i="3"/>
  <c r="L47" i="3"/>
  <c r="L28" i="3"/>
  <c r="L37" i="3"/>
  <c r="Q46" i="3"/>
  <c r="L46" i="3"/>
  <c r="Q28" i="3"/>
  <c r="R28" i="3" s="1"/>
  <c r="L90" i="3"/>
  <c r="L18" i="3"/>
  <c r="L32" i="3"/>
  <c r="L41" i="3"/>
  <c r="Q48" i="3"/>
  <c r="L48" i="3"/>
  <c r="I73" i="3"/>
  <c r="H3" i="4" s="1"/>
  <c r="L35" i="3"/>
  <c r="L49" i="3"/>
  <c r="L91" i="3"/>
  <c r="I38" i="3"/>
  <c r="B3" i="4" s="1"/>
  <c r="L69" i="3"/>
  <c r="I50" i="3"/>
  <c r="B4" i="4" s="1"/>
  <c r="L57" i="3"/>
  <c r="I105" i="3"/>
  <c r="H7" i="4" s="1"/>
  <c r="R61" i="3" l="1"/>
  <c r="Q73" i="3"/>
  <c r="K88" i="3"/>
  <c r="Q108" i="3"/>
  <c r="Q109" i="3" s="1"/>
  <c r="Q98" i="3"/>
  <c r="R98" i="3" s="1"/>
  <c r="R46" i="3"/>
  <c r="J88" i="3"/>
  <c r="Q49" i="3"/>
  <c r="R49" i="3" s="1"/>
  <c r="J82" i="3"/>
  <c r="K82" i="3" s="1"/>
  <c r="R82" i="3"/>
  <c r="J47" i="3"/>
  <c r="K47" i="3" s="1"/>
  <c r="R47" i="3"/>
  <c r="J9" i="4"/>
  <c r="R111" i="3"/>
  <c r="J5" i="4"/>
  <c r="R88" i="3"/>
  <c r="J48" i="3"/>
  <c r="K48" i="3" s="1"/>
  <c r="R48" i="3"/>
  <c r="R40" i="3"/>
  <c r="J92" i="3"/>
  <c r="K92" i="3" s="1"/>
  <c r="R92" i="3"/>
  <c r="J19" i="3"/>
  <c r="K19" i="3" s="1"/>
  <c r="R19" i="3"/>
  <c r="J23" i="3"/>
  <c r="K23" i="3" s="1"/>
  <c r="R23" i="3"/>
  <c r="J2" i="4"/>
  <c r="J7" i="4"/>
  <c r="R105" i="3"/>
  <c r="J63" i="3"/>
  <c r="K63" i="3" s="1"/>
  <c r="R63" i="3"/>
  <c r="J10" i="4"/>
  <c r="R115" i="3"/>
  <c r="J71" i="3"/>
  <c r="K71" i="3" s="1"/>
  <c r="R71" i="3"/>
  <c r="J41" i="3"/>
  <c r="K41" i="3" s="1"/>
  <c r="R41" i="3"/>
  <c r="J45" i="3"/>
  <c r="K45" i="3" s="1"/>
  <c r="R45" i="3"/>
  <c r="J66" i="3"/>
  <c r="K66" i="3" s="1"/>
  <c r="R66" i="3"/>
  <c r="J35" i="3"/>
  <c r="K35" i="3" s="1"/>
  <c r="Q37" i="3"/>
  <c r="R37" i="3" s="1"/>
  <c r="J31" i="3"/>
  <c r="K31" i="3" s="1"/>
  <c r="L30" i="3"/>
  <c r="Q33" i="3"/>
  <c r="R33" i="3" s="1"/>
  <c r="Q34" i="3"/>
  <c r="Q36" i="3"/>
  <c r="R36" i="3" s="1"/>
  <c r="J91" i="3"/>
  <c r="K91" i="3" s="1"/>
  <c r="L12" i="3"/>
  <c r="L17" i="3"/>
  <c r="J105" i="3"/>
  <c r="K105" i="3" s="1"/>
  <c r="J111" i="3"/>
  <c r="K111" i="3" s="1"/>
  <c r="J115" i="3"/>
  <c r="K115" i="3" s="1"/>
  <c r="J28" i="3"/>
  <c r="K28" i="3" s="1"/>
  <c r="J61" i="3"/>
  <c r="K61" i="3" s="1"/>
  <c r="L77" i="3"/>
  <c r="J9" i="3"/>
  <c r="K9" i="3" s="1"/>
  <c r="Q81" i="3"/>
  <c r="I24" i="3"/>
  <c r="B2" i="4" s="1"/>
  <c r="L78" i="3"/>
  <c r="Q80" i="3"/>
  <c r="J40" i="3"/>
  <c r="K40" i="3" s="1"/>
  <c r="J44" i="3"/>
  <c r="K44" i="3" s="1"/>
  <c r="J46" i="3"/>
  <c r="K46" i="3" s="1"/>
  <c r="J43" i="3"/>
  <c r="K43" i="3" s="1"/>
  <c r="L96" i="3"/>
  <c r="L86" i="3"/>
  <c r="L94" i="3"/>
  <c r="L70" i="3"/>
  <c r="L97" i="3"/>
  <c r="L104" i="3"/>
  <c r="L114" i="3"/>
  <c r="L92" i="3"/>
  <c r="L36" i="3"/>
  <c r="L60" i="3"/>
  <c r="Q29" i="3"/>
  <c r="R29" i="3" s="1"/>
  <c r="L110" i="3"/>
  <c r="L93" i="3"/>
  <c r="L55" i="3"/>
  <c r="L87" i="3"/>
  <c r="L100" i="3"/>
  <c r="L19" i="3"/>
  <c r="L34" i="3"/>
  <c r="L33" i="3"/>
  <c r="L113" i="3"/>
  <c r="L58" i="3"/>
  <c r="L53" i="3"/>
  <c r="L71" i="3"/>
  <c r="L107" i="3"/>
  <c r="L81" i="3"/>
  <c r="L64" i="3"/>
  <c r="L102" i="3"/>
  <c r="L82" i="3"/>
  <c r="I116" i="3"/>
  <c r="L103" i="3"/>
  <c r="L22" i="3"/>
  <c r="L54" i="3"/>
  <c r="L108" i="3"/>
  <c r="L65" i="3"/>
  <c r="L11" i="3"/>
  <c r="L14" i="3"/>
  <c r="L9" i="3"/>
  <c r="L10" i="3"/>
  <c r="L59" i="3"/>
  <c r="L80" i="3"/>
  <c r="L72" i="3"/>
  <c r="L13" i="3"/>
  <c r="L85" i="3"/>
  <c r="L21" i="3"/>
  <c r="L101" i="3"/>
  <c r="L76" i="3"/>
  <c r="L95" i="3"/>
  <c r="L40" i="3"/>
  <c r="I117" i="3" l="1"/>
  <c r="I118" i="3" s="1"/>
  <c r="B5" i="4"/>
  <c r="R34" i="3"/>
  <c r="Q38" i="3"/>
  <c r="J108" i="3"/>
  <c r="K108" i="3" s="1"/>
  <c r="R108" i="3"/>
  <c r="J49" i="3"/>
  <c r="K49" i="3" s="1"/>
  <c r="Q50" i="3"/>
  <c r="J50" i="3" s="1"/>
  <c r="J34" i="3"/>
  <c r="K34" i="3" s="1"/>
  <c r="J80" i="3"/>
  <c r="K80" i="3" s="1"/>
  <c r="R80" i="3"/>
  <c r="J81" i="3"/>
  <c r="K81" i="3" s="1"/>
  <c r="R81" i="3"/>
  <c r="J6" i="4"/>
  <c r="J37" i="3"/>
  <c r="K37" i="3" s="1"/>
  <c r="J36" i="3"/>
  <c r="K36" i="3" s="1"/>
  <c r="J33" i="3"/>
  <c r="K33" i="3" s="1"/>
  <c r="L29" i="3"/>
  <c r="L115" i="3"/>
  <c r="L98" i="3"/>
  <c r="H11" i="4"/>
  <c r="I6" i="4" s="1"/>
  <c r="J29" i="3"/>
  <c r="K29" i="3" s="1"/>
  <c r="L105" i="3"/>
  <c r="Q83" i="3"/>
  <c r="Q116" i="3" s="1"/>
  <c r="L111" i="3"/>
  <c r="L23" i="3"/>
  <c r="L83" i="3"/>
  <c r="L50" i="3"/>
  <c r="L88" i="3"/>
  <c r="L109" i="3"/>
  <c r="L61" i="3"/>
  <c r="L15" i="3"/>
  <c r="N119" i="3" l="1"/>
  <c r="R109" i="3"/>
  <c r="J109" i="3"/>
  <c r="K109" i="3" s="1"/>
  <c r="J8" i="4"/>
  <c r="D4" i="4"/>
  <c r="R50" i="3"/>
  <c r="J4" i="4"/>
  <c r="R83" i="3"/>
  <c r="D3" i="4"/>
  <c r="R38" i="3"/>
  <c r="J38" i="3"/>
  <c r="K38" i="3" s="1"/>
  <c r="I9" i="4"/>
  <c r="I3" i="4"/>
  <c r="I4" i="4"/>
  <c r="I2" i="4"/>
  <c r="I8" i="4"/>
  <c r="I10" i="4"/>
  <c r="I5" i="4"/>
  <c r="I7" i="4"/>
  <c r="L73" i="3"/>
  <c r="L38" i="3"/>
  <c r="Q15" i="3"/>
  <c r="R15" i="3" s="1"/>
  <c r="L24" i="3"/>
  <c r="O119" i="3" l="1"/>
  <c r="D5" i="4"/>
  <c r="R116" i="3"/>
  <c r="J3" i="4"/>
  <c r="J11" i="4" s="1"/>
  <c r="K9" i="4" s="1"/>
  <c r="R73" i="3"/>
  <c r="J15" i="3"/>
  <c r="K15" i="3" s="1"/>
  <c r="I11" i="4"/>
  <c r="B6" i="4"/>
  <c r="L116" i="3"/>
  <c r="J83" i="3"/>
  <c r="K83" i="3" s="1"/>
  <c r="J98" i="3"/>
  <c r="K98" i="3" s="1"/>
  <c r="Q24" i="3"/>
  <c r="K50" i="3"/>
  <c r="Q117" i="3" l="1"/>
  <c r="Q118" i="3" s="1"/>
  <c r="P119" i="3"/>
  <c r="K7" i="4"/>
  <c r="K8" i="4"/>
  <c r="K3" i="4"/>
  <c r="K10" i="4"/>
  <c r="K4" i="4"/>
  <c r="K2" i="4"/>
  <c r="D2" i="4"/>
  <c r="D6" i="4" s="1"/>
  <c r="E5" i="4" s="1"/>
  <c r="R24" i="3"/>
  <c r="K5" i="4"/>
  <c r="K6" i="4"/>
  <c r="L117" i="3"/>
  <c r="L118" i="3"/>
  <c r="C3" i="4"/>
  <c r="C2" i="4"/>
  <c r="C5" i="4"/>
  <c r="C6" i="4"/>
  <c r="C4" i="4"/>
  <c r="J24" i="3"/>
  <c r="K24" i="3" s="1"/>
  <c r="J73" i="3"/>
  <c r="K73" i="3" s="1"/>
  <c r="R117" i="3" l="1"/>
  <c r="K11" i="4"/>
  <c r="E4" i="4"/>
  <c r="E3" i="4"/>
  <c r="E2" i="4"/>
  <c r="E6" i="4"/>
  <c r="J116" i="3"/>
  <c r="K116" i="3" l="1"/>
  <c r="K117" i="3" s="1"/>
  <c r="K118" i="3" s="1"/>
  <c r="J117" i="3"/>
  <c r="J118" i="3" s="1"/>
  <c r="R1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FRM</author>
  </authors>
  <commentList>
    <comment ref="E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FRM:</t>
        </r>
        <r>
          <rPr>
            <sz val="9"/>
            <color indexed="81"/>
            <rFont val="Tahoma"/>
            <family val="2"/>
          </rPr>
          <t xml:space="preserve">
moto, casque, permis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FRM</author>
  </authors>
  <commentList>
    <comment ref="E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FRM:</t>
        </r>
        <r>
          <rPr>
            <sz val="9"/>
            <color indexed="81"/>
            <rFont val="Tahoma"/>
            <family val="2"/>
          </rPr>
          <t xml:space="preserve">
moto, casque, permis</t>
        </r>
      </text>
    </comment>
  </commentList>
</comments>
</file>

<file path=xl/sharedStrings.xml><?xml version="1.0" encoding="utf-8"?>
<sst xmlns="http://schemas.openxmlformats.org/spreadsheetml/2006/main" count="872" uniqueCount="426">
  <si>
    <t>Prix unité en $US</t>
  </si>
  <si>
    <t>Nombre ou superficies</t>
  </si>
  <si>
    <t>Quantités /durée</t>
  </si>
  <si>
    <t>I</t>
  </si>
  <si>
    <t xml:space="preserve">Ressources humaines </t>
  </si>
  <si>
    <t>A</t>
  </si>
  <si>
    <t xml:space="preserve">Personnel opérationnel </t>
  </si>
  <si>
    <t>Chef de base territoire (Inongo, Kiri, Kutu, Oshwe)</t>
  </si>
  <si>
    <t>mois</t>
  </si>
  <si>
    <t>Animateur d'appui à la structuration du milieu, secrétaire exécutif CARTs de territoire</t>
  </si>
  <si>
    <t>Ingénieurs TP</t>
  </si>
  <si>
    <t>Agro-forestier de territoire</t>
  </si>
  <si>
    <t>Responsables pêche de territoire</t>
  </si>
  <si>
    <t>Responsables de territoire MRV, PSE, Suivi évaluation</t>
  </si>
  <si>
    <t>B</t>
  </si>
  <si>
    <t xml:space="preserve">Personnel d'appui </t>
  </si>
  <si>
    <t xml:space="preserve">Pilote du canot rapide </t>
  </si>
  <si>
    <t>Chauffeurs tracteurs</t>
  </si>
  <si>
    <t>C</t>
  </si>
  <si>
    <t xml:space="preserve">Per diem et primes </t>
  </si>
  <si>
    <t>prime mensuelle de déplacement du personnel de territoire</t>
  </si>
  <si>
    <t>jour</t>
  </si>
  <si>
    <t xml:space="preserve">Transport aérien </t>
  </si>
  <si>
    <t>TOTAL TRANSPORT AERIEN</t>
  </si>
  <si>
    <t>III</t>
  </si>
  <si>
    <t xml:space="preserve">Equipements </t>
  </si>
  <si>
    <t>INVEST</t>
  </si>
  <si>
    <t>unité</t>
  </si>
  <si>
    <t xml:space="preserve">achat de vélos pour les agents des services techniques </t>
  </si>
  <si>
    <t xml:space="preserve">achat de canots rapides </t>
  </si>
  <si>
    <t>achat de tracteurs de 80 CV avec remorque</t>
  </si>
  <si>
    <t>achat de meubles et équipements de bureaux</t>
  </si>
  <si>
    <t>forfait</t>
  </si>
  <si>
    <t>achat et installation d'équipements internet VSAT</t>
  </si>
  <si>
    <t>construction des bureaux du projet pour Inongo, Kiri et Oswhe</t>
  </si>
  <si>
    <t>TOTAL EQUIPEMENTS</t>
  </si>
  <si>
    <t>IV</t>
  </si>
  <si>
    <t>Fonctionnement projet</t>
  </si>
  <si>
    <t>loyer base Kinshasa</t>
  </si>
  <si>
    <t>loyer base Nioki</t>
  </si>
  <si>
    <t xml:space="preserve">fonctionnement voitures </t>
  </si>
  <si>
    <t>fonctionnement tracteurs</t>
  </si>
  <si>
    <t xml:space="preserve">mois </t>
  </si>
  <si>
    <t>fonctionnement moto</t>
  </si>
  <si>
    <t>fonctionnement des canots rapides</t>
  </si>
  <si>
    <t xml:space="preserve">fonctionnement bureau </t>
  </si>
  <si>
    <t>internet (Kinshasa, 4 bases territoires, base Nioki)</t>
  </si>
  <si>
    <t>TOTAL FONCTIONNEMENT DE PROJET</t>
  </si>
  <si>
    <t>ateliers des plans de secteur ou groupement (dans les cas de grands groupements)</t>
  </si>
  <si>
    <t xml:space="preserve">par secteur </t>
  </si>
  <si>
    <t>ateliers des plans de territoire actualisés tous les deux ans</t>
  </si>
  <si>
    <t>par territoire</t>
  </si>
  <si>
    <t>par district</t>
  </si>
  <si>
    <t xml:space="preserve">réunion </t>
  </si>
  <si>
    <t xml:space="preserve">réunions des CARTs de territoire 1/4 mois </t>
  </si>
  <si>
    <t>formations des juges de paix et des agents du cadastre</t>
  </si>
  <si>
    <t>formation</t>
  </si>
  <si>
    <t>Réunions de large information au chef lieu provincial (une par an)</t>
  </si>
  <si>
    <t xml:space="preserve">réunion / atelier </t>
  </si>
  <si>
    <t>contrats avec les radios communautaires</t>
  </si>
  <si>
    <t>contrats annuels</t>
  </si>
  <si>
    <t>motivation des agents de contrôle forestier, 5 par territoire</t>
  </si>
  <si>
    <t>par agent/mois</t>
  </si>
  <si>
    <t>formation des agents de contrôle forestier</t>
  </si>
  <si>
    <t>atelier</t>
  </si>
  <si>
    <t>appui logistique au Conseil Provincial des Forêts   (1 par an)</t>
  </si>
  <si>
    <t>Agriculture :  motivation des agents sélectionnés pour réalisation des activités de vulgarisation. 5 agents par territoire</t>
  </si>
  <si>
    <t>Affaires foncières motivation  des agents sélectionnés pour réalisation des objectifs fonciers des plans. 1 agent par territoire</t>
  </si>
  <si>
    <t>par territoire/an</t>
  </si>
  <si>
    <t>Intérieur : motivation des AT et chefs de secteur pour la réalisation et le suivi évaluation des contrats de PDD</t>
  </si>
  <si>
    <t>suivi évaluation par les directions provinciales des ST décentralisés (Coordination environnement, inspection provinciale agriculture…)</t>
  </si>
  <si>
    <t>achat d'équipements divers pour les services techniques (papèterie, matériel de bureau, vélos...)</t>
  </si>
  <si>
    <t>achat de moteurs hors-bords pour pirogues du Minagri pour suivi des contrats de pêche (15 CV) 2 par territoire</t>
  </si>
  <si>
    <t>fonctionnement annuel des hors-bords (2 tournées par an)</t>
  </si>
  <si>
    <t>par an</t>
  </si>
  <si>
    <t>Réalisation des investissements structurants</t>
  </si>
  <si>
    <t>SOUS-TRAITANCE</t>
  </si>
  <si>
    <t>entretien des routes à 400 dollars par an soit 33 dollars/km/mois , 500 km de points chauds</t>
  </si>
  <si>
    <t>par km/an</t>
  </si>
  <si>
    <t xml:space="preserve">construction de ponts </t>
  </si>
  <si>
    <t>entretien des routes à 500 dollars par an soit 33 dollars/km/mois , 200 km de points chauds</t>
  </si>
  <si>
    <t>bac de Lediba</t>
  </si>
  <si>
    <t>D</t>
  </si>
  <si>
    <t>Aide aux CLD à planifier la meilleure gestion des Ressources naturelles</t>
  </si>
  <si>
    <t>APPUI</t>
  </si>
  <si>
    <t>contrats avec ONG pour création ou renforcement des CLD et réalisation des PDD</t>
  </si>
  <si>
    <t>par CLD</t>
  </si>
  <si>
    <t>frais d'atelier de programmation et de suivi évaluation des PDD de CLD</t>
  </si>
  <si>
    <t xml:space="preserve">par CLD </t>
  </si>
  <si>
    <t xml:space="preserve">enregistrement des statuts, des plans, des contrats </t>
  </si>
  <si>
    <t xml:space="preserve">par institution </t>
  </si>
  <si>
    <t>E</t>
  </si>
  <si>
    <t>Appui aux investissements des PDD de CLD et à la recherche développement</t>
  </si>
  <si>
    <t>équipement des pépinières agroforestières de CLD (râteaux, brouettes…) pour 600 pépinières</t>
  </si>
  <si>
    <t>par pépinière</t>
  </si>
  <si>
    <t>achat de semences pour les pépinières agroforestières une pour deux villages</t>
  </si>
  <si>
    <t>création de parcs à bois manioc tous les CLD (y compris achat bouture) 1/2 ha par CLD</t>
  </si>
  <si>
    <t>achat de semences de maïs amélioré pour 1/2 ha de champ de multiplication</t>
  </si>
  <si>
    <t>kg</t>
  </si>
  <si>
    <t>mise en place de la cogestion de la pêche responsable</t>
  </si>
  <si>
    <t>appuis aux organisations de pêcheurs</t>
  </si>
  <si>
    <t>autres investissements programmés par les PDD</t>
  </si>
  <si>
    <t>F</t>
  </si>
  <si>
    <t>Contrats pour paiement au Résultat</t>
  </si>
  <si>
    <t>Développement de l'agriculture en savane (Modèle 1)</t>
  </si>
  <si>
    <t>par ha</t>
  </si>
  <si>
    <t>Développement de l'agriculture en savane (Modèle 2)</t>
  </si>
  <si>
    <t>Développement de l'agriculture en savane (Modèle 3)</t>
  </si>
  <si>
    <t>Développement des cultures pérennes en alternative aux cultures vivrières sur jachère brulis</t>
  </si>
  <si>
    <t>Mise en défens de forêts a haute valeur de conservation</t>
  </si>
  <si>
    <t>Soutien au développement de filières (café, cacao, hévéa, huile de palme)</t>
  </si>
  <si>
    <t xml:space="preserve">aval des filières dont appui aux commerçants et équipements </t>
  </si>
  <si>
    <t>Assistance technique à l'animation de filière</t>
  </si>
  <si>
    <t>provision annuelle par territoire</t>
  </si>
  <si>
    <t>Plan pour les Peuples Autochtones</t>
  </si>
  <si>
    <t>Consultation pour identifier les priorités des PDPAs existants</t>
  </si>
  <si>
    <t>Réalisation de micro-projets</t>
  </si>
  <si>
    <t>TOTAL ACTIVITES</t>
  </si>
  <si>
    <t>VII</t>
  </si>
  <si>
    <t>X</t>
  </si>
  <si>
    <t>TOTAL</t>
  </si>
  <si>
    <t>construction de ponts</t>
  </si>
  <si>
    <t>équipements de transformation des produits agricoles (4 par territoire)</t>
  </si>
  <si>
    <t>Différence par rapport budget initial en  $US</t>
  </si>
  <si>
    <t>contrats ONG appui technique sectoriel 3 par territoire, 3 ans : pêche, agriculture, foret</t>
  </si>
  <si>
    <t>Initiation au planning familial (contrats avec ONG locale) et à la prévention d'Ebola et du VIH SIDA</t>
  </si>
  <si>
    <t>Activités</t>
  </si>
  <si>
    <t>Total</t>
  </si>
  <si>
    <t>% budget total</t>
  </si>
  <si>
    <t>Répartition Montant Délégué Global</t>
  </si>
  <si>
    <t>achat de motos tous terrains + casques  (tous personnels de base plus secrétaire adjoint CARTs, plus divers contrats ONG)</t>
  </si>
  <si>
    <t>forfait par unité</t>
  </si>
  <si>
    <t>réunion des CARTs de secteur 1/4 mois</t>
  </si>
  <si>
    <t>achat d'ordinateurs, d'onduleurs, de stabilisateurs, de scanners et d'imprimantes (bases et personnel d'encadrement)</t>
  </si>
  <si>
    <t>V</t>
  </si>
  <si>
    <t>Mise en œuvre des activités</t>
  </si>
  <si>
    <t>Total 7 mois</t>
  </si>
  <si>
    <t>achat de 20 vélos en mois 3 (pour démarrage base en mois 4) ; le reste mois 5</t>
  </si>
  <si>
    <t>Commentaires</t>
  </si>
  <si>
    <t>N°</t>
  </si>
  <si>
    <t>Mois</t>
  </si>
  <si>
    <t>Préparation et mise en œuvre du Programme</t>
  </si>
  <si>
    <t>Déploiement de l’ALE sur le terrain</t>
  </si>
  <si>
    <t>Etat des lieux des systèmes agraires existants</t>
  </si>
  <si>
    <t>Compilation des données existantes touchant les sites d’intervention ou les thématiques du Programme</t>
  </si>
  <si>
    <t>Mise en place du réseau relationnel</t>
  </si>
  <si>
    <t>Mise en place des outils de suivi et de gestion de Programme</t>
  </si>
  <si>
    <t>Élaboration du chronogramme actualisé des interventions du Programme</t>
  </si>
  <si>
    <t>Délimitation et sélection des zones d’intervention</t>
  </si>
  <si>
    <t>Pilier Gouvernance</t>
  </si>
  <si>
    <t>Etat des lieux</t>
  </si>
  <si>
    <t>Mise en place de 15 CARG-S et de 4 CARG-T</t>
  </si>
  <si>
    <t>Mise en place de 600 CLD</t>
  </si>
  <si>
    <t>Mise en place d’un OMF</t>
  </si>
  <si>
    <t>Renforcement des services de l’Etat</t>
  </si>
  <si>
    <t>Elaboration des plans simples de gestion</t>
  </si>
  <si>
    <t>Elaboration des plans de développement durable</t>
  </si>
  <si>
    <t>Appuyer la mise en œuvre des PDD et PSG par la réalisation de micro-projets</t>
  </si>
  <si>
    <t>Faciliter et sécuriser la circulation des biens et des personnes</t>
  </si>
  <si>
    <t>Pilier Foncier</t>
  </si>
  <si>
    <t>Suivi de la création des PSG et des PDD par les services de l’Etat</t>
  </si>
  <si>
    <t>Définition d’un cadre légal contraignant, enregistrement des PSG et PDD et retours d’expérience</t>
  </si>
  <si>
    <t>Gestion des conflits</t>
  </si>
  <si>
    <t>Pilier Démographie</t>
  </si>
  <si>
    <t>Information des leaders d’opinion</t>
  </si>
  <si>
    <t>Diagnostic des pratiques actuelles et de l’accessibilité des contraceptifs</t>
  </si>
  <si>
    <t>Elaboration des TdR pour les 8 ONG à recruter</t>
  </si>
  <si>
    <t>Recrutement des ONG</t>
  </si>
  <si>
    <t>Mise en place des activités : Sensibilisation, information et mise à disposition des moyens de contraception</t>
  </si>
  <si>
    <t>Pilier Agriculture - Pêche</t>
  </si>
  <si>
    <t>Promouvoir l’agriculture de savane notamment par la culture attelée</t>
  </si>
  <si>
    <t>Vulgariser de nouveaux systèmes de culture plus performants</t>
  </si>
  <si>
    <t>Améliorer les techniques de transformation des produits agricoles</t>
  </si>
  <si>
    <t>Renforcer l’aval des chaînes de valeur</t>
  </si>
  <si>
    <t>Mettre en place d’une cogestion des ressources halieutiques</t>
  </si>
  <si>
    <t>Mettre en place de paiements aux résultats pour services environnementaux</t>
  </si>
  <si>
    <t>Pilier Forêt</t>
  </si>
  <si>
    <t>Identification et protection des zones à HVC</t>
  </si>
  <si>
    <t>Exploitation durable de PFNL via l’appui aux filières</t>
  </si>
  <si>
    <t>Accompagnement au développement de forêts communautaires</t>
  </si>
  <si>
    <t>Pilier Energie</t>
  </si>
  <si>
    <t>Etude préliminaire par un Consultant chargé d’élaborer une stratégie détaillée d’encadrement du charbonnage</t>
  </si>
  <si>
    <t>Consultation des autorités locales pour compléter et/ou valider la stratégie à mettre en œuvre.</t>
  </si>
  <si>
    <t>Sensibilisation des communautés concernées à l’exploitation durable du bois énergie</t>
  </si>
  <si>
    <t>Définition et mise en œuvre d’une gestion durable des prélèvements</t>
  </si>
  <si>
    <t>Appui à l’amélioration des rendements de la carbonisation.</t>
  </si>
  <si>
    <t>Appui à l’amélioration du fonctionnement de la filière</t>
  </si>
  <si>
    <t>Propositions en matière de cadre réglementaire</t>
  </si>
  <si>
    <t>1.1</t>
  </si>
  <si>
    <t>1.2</t>
  </si>
  <si>
    <t>1.3</t>
  </si>
  <si>
    <t>1.4</t>
  </si>
  <si>
    <t>1.5</t>
  </si>
  <si>
    <t>1.6</t>
  </si>
  <si>
    <t>1.7</t>
  </si>
  <si>
    <t>Elaboration du budget annuel actualisé</t>
  </si>
  <si>
    <t>1.8</t>
  </si>
  <si>
    <t>2.1</t>
  </si>
  <si>
    <t>2.2</t>
  </si>
  <si>
    <t>2.3</t>
  </si>
  <si>
    <t>2.4</t>
  </si>
  <si>
    <t>2.5</t>
  </si>
  <si>
    <t>Pilier Aménagement du Territoire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</si>
  <si>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</si>
  <si>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</si>
  <si>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</si>
  <si>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</si>
  <si>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</si>
  <si>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</si>
  <si>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</si>
  <si>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</si>
  <si>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</si>
  <si>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</si>
  <si>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</si>
  <si>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</si>
  <si>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</si>
  <si>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</si>
  <si>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</si>
  <si>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</si>
  <si>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</si>
  <si>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</si>
  <si>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</si>
  <si>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</si>
  <si>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</si>
  <si>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</si>
  <si>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</si>
  <si>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</si>
  <si>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</si>
  <si>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</si>
  <si>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</si>
  <si>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</si>
  <si>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Supporter les populations les plus vulnérables</t>
  </si>
  <si>
    <t>9.1</t>
  </si>
  <si>
    <t>Inclure les populations les plus vulnérables dans toutes les activités du programme</t>
  </si>
  <si>
    <t>9.2</t>
  </si>
  <si>
    <t>Appuyer la mise en œuvre de micro-projets spécifiques aux populations autochtones</t>
  </si>
  <si>
    <t>Activités transversales de gestion de projet</t>
  </si>
  <si>
    <t>10.1</t>
  </si>
  <si>
    <t>Suivi-évaluation régulier</t>
  </si>
  <si>
    <t>10.2</t>
  </si>
  <si>
    <t>Suivi-évaluation initial, mi-parcours et final</t>
  </si>
  <si>
    <t>10.3</t>
  </si>
  <si>
    <t>Remise du rapport de démarrage</t>
  </si>
  <si>
    <t>10.4</t>
  </si>
  <si>
    <t>Remise du plan annuel de travail et budget des opérations</t>
  </si>
  <si>
    <t>10.5</t>
  </si>
  <si>
    <t>Remise du rapport trimestriel d’activités</t>
  </si>
  <si>
    <t>10.6</t>
  </si>
  <si>
    <t>Remise du rapport semi-annuel d’activités</t>
  </si>
  <si>
    <t>10.7</t>
  </si>
  <si>
    <t>Remise du rapport annuel technique et financier</t>
  </si>
  <si>
    <t>10.8</t>
  </si>
  <si>
    <t>Remise du projet de rapport final</t>
  </si>
  <si>
    <t>10.9</t>
  </si>
  <si>
    <t>Remise du rapport final</t>
  </si>
  <si>
    <t>ANNEE 1</t>
  </si>
  <si>
    <t>T3</t>
  </si>
  <si>
    <t>T4</t>
  </si>
  <si>
    <t>II</t>
  </si>
  <si>
    <t>Solde Budget Total</t>
  </si>
  <si>
    <t>T2
(sur 1 mois)</t>
  </si>
  <si>
    <t>Grandes Lignes Budgétaires</t>
  </si>
  <si>
    <t>Répartition dépenses - 7 premiers mois</t>
  </si>
  <si>
    <t>% budget 7 mois</t>
  </si>
  <si>
    <t>Part Budget</t>
  </si>
  <si>
    <t>% Part Budget</t>
  </si>
  <si>
    <t>Part Buget 7 mois</t>
  </si>
  <si>
    <t>% Part Buget 7 mois</t>
  </si>
  <si>
    <t>Démarrage en mois 4 d'une base de territoire ; en mois 6 : toutes les bases</t>
  </si>
  <si>
    <t>démarrage en mois 4 d'une base ; en mois 6 : toutes les bases</t>
  </si>
  <si>
    <t>TOTAL RESSOURCES HUMAINES</t>
  </si>
  <si>
    <t>Budget Prévisionnel 2018</t>
  </si>
  <si>
    <t>achat de 2 voitures de brousse</t>
  </si>
  <si>
    <t xml:space="preserve">achat de GPS (Animateur, ONG d'appui aménagement, équipe encadrantes) </t>
  </si>
  <si>
    <t xml:space="preserve">communication téléphoniques </t>
  </si>
  <si>
    <t>Budget en MD $US</t>
  </si>
  <si>
    <t>Début des déplacements au M3, arrêt au M34</t>
  </si>
  <si>
    <t>loyer base territoire Kutu</t>
  </si>
  <si>
    <t>% budget  total</t>
  </si>
  <si>
    <t>Achat de graines prégermées pour un objectif de 20ha de plantation de palmiers à huile</t>
  </si>
  <si>
    <t xml:space="preserve">achat 35 motos au mois 1 ; le reste mois 5 </t>
  </si>
  <si>
    <t>Rémunération MOD</t>
  </si>
  <si>
    <t>A1</t>
  </si>
  <si>
    <t>A2</t>
  </si>
  <si>
    <t>A3</t>
  </si>
  <si>
    <t>A4</t>
  </si>
  <si>
    <t>A5</t>
  </si>
  <si>
    <t>A6</t>
  </si>
  <si>
    <t>B1</t>
  </si>
  <si>
    <t>B2</t>
  </si>
  <si>
    <t>C1</t>
  </si>
  <si>
    <t>C2</t>
  </si>
  <si>
    <t>per diem des chauffeurs et pilotes 18 jours par mois sur 31 mois</t>
  </si>
  <si>
    <t>Etudes Socio-Environnementale en T3 et Architecturale en T4</t>
  </si>
  <si>
    <t xml:space="preserve">Gouvernance des ressources naturelles du 4 Territoires </t>
  </si>
  <si>
    <t>Identification des structures étatiques des territoires</t>
  </si>
  <si>
    <t>ateliers du plan de la Province actualisé tous les deux ans</t>
  </si>
  <si>
    <t>en Octobre</t>
  </si>
  <si>
    <t>En T4</t>
  </si>
  <si>
    <t>COPIL Juillet 2018</t>
  </si>
  <si>
    <t>Renforcement des capacités des services techniques déconcentrés</t>
  </si>
  <si>
    <t>Ancien District du Mai-Ndombe</t>
  </si>
  <si>
    <t>Ancien District des Plateaux</t>
  </si>
  <si>
    <t>Etudes complémentaires (aménagement du port, érosion, socio-environnementale,...) à faire pour l'implantation du bac</t>
  </si>
  <si>
    <t>idem</t>
  </si>
  <si>
    <t>= communication au sens large ; (20 000$ pour 4 ateliers pour le plan de communication et 10 000$ pour premiers contrats avec radios communautaires + 2 000$ pour transports,etc...)</t>
  </si>
  <si>
    <t>Sous total Personnel opérationnel</t>
  </si>
  <si>
    <t>Sous total Personnel d'appui</t>
  </si>
  <si>
    <t>Sous total Perdiem et primes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</si>
  <si>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</si>
  <si>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</si>
  <si>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</si>
  <si>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</si>
  <si>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</si>
  <si>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</si>
  <si>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</si>
  <si>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</si>
  <si>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</si>
  <si>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</si>
  <si>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</si>
  <si>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</si>
  <si>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</si>
  <si>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</si>
  <si>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</si>
  <si>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</si>
  <si>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</si>
  <si>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</si>
  <si>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</si>
  <si>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</si>
  <si>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FA1</t>
  </si>
  <si>
    <t>FA2</t>
  </si>
  <si>
    <t>FA3</t>
  </si>
  <si>
    <t>FA4</t>
  </si>
  <si>
    <t>FA5</t>
  </si>
  <si>
    <t>FA6</t>
  </si>
  <si>
    <t>FA7</t>
  </si>
  <si>
    <t>FA8</t>
  </si>
  <si>
    <t>FB</t>
  </si>
  <si>
    <t>FB1</t>
  </si>
  <si>
    <t>FB2</t>
  </si>
  <si>
    <t>FB3</t>
  </si>
  <si>
    <t>FB4</t>
  </si>
  <si>
    <t>FB5</t>
  </si>
  <si>
    <t>FB6</t>
  </si>
  <si>
    <t>FB7</t>
  </si>
  <si>
    <t>FB8</t>
  </si>
  <si>
    <t>FB9</t>
  </si>
  <si>
    <t>FB10</t>
  </si>
  <si>
    <t>FC</t>
  </si>
  <si>
    <t>FC1</t>
  </si>
  <si>
    <t>FC2</t>
  </si>
  <si>
    <t>FC3</t>
  </si>
  <si>
    <t>FC4</t>
  </si>
  <si>
    <t>FC5</t>
  </si>
  <si>
    <t>FC6</t>
  </si>
  <si>
    <t>FD</t>
  </si>
  <si>
    <t>FD1</t>
  </si>
  <si>
    <t>FD2</t>
  </si>
  <si>
    <t>FD3</t>
  </si>
  <si>
    <t>FE</t>
  </si>
  <si>
    <t>FE1</t>
  </si>
  <si>
    <t>FE2</t>
  </si>
  <si>
    <t>FE3</t>
  </si>
  <si>
    <t>FE4</t>
  </si>
  <si>
    <t>FE5</t>
  </si>
  <si>
    <t>FE6</t>
  </si>
  <si>
    <t>FE7</t>
  </si>
  <si>
    <t>FE8</t>
  </si>
  <si>
    <t>FF</t>
  </si>
  <si>
    <t>FF1</t>
  </si>
  <si>
    <t>FF2</t>
  </si>
  <si>
    <t>FF3</t>
  </si>
  <si>
    <t>FF4</t>
  </si>
  <si>
    <t>FF5</t>
  </si>
  <si>
    <t>FG</t>
  </si>
  <si>
    <t>FG1</t>
  </si>
  <si>
    <t>FG2</t>
  </si>
  <si>
    <t>FH</t>
  </si>
  <si>
    <t>FI</t>
  </si>
  <si>
    <t>FI1</t>
  </si>
  <si>
    <t>FI2</t>
  </si>
  <si>
    <t>Sous total Soutien au développement de filières (café, cacao, hévéa, huile de palme)</t>
  </si>
  <si>
    <t>Sous total Initiation au planning familial (contrats avec ONG locale) et à la prévention d'Ebola et du VIH SIDA</t>
  </si>
  <si>
    <t>Sous total Plan pour les Peuples Autochtones</t>
  </si>
  <si>
    <t>Sous total Contrats pour paiement au Résultat</t>
  </si>
  <si>
    <t>Sous total Appui aux investissements des PDD de CLD et à la recherche développement</t>
  </si>
  <si>
    <t>Sous total Aide aux CLD à planifier la meilleure gestion des Ressources naturelles</t>
  </si>
  <si>
    <t>Sous total Réalisation des investissements structurants</t>
  </si>
  <si>
    <t>Sous total Renforcement des capacités des services techniques déconcentrés</t>
  </si>
  <si>
    <t xml:space="preserve">Sous total Gouvernance des ressources naturelles du 4 Territoires </t>
  </si>
  <si>
    <t>Facturation trimestrielle de la rémunération du MOD</t>
  </si>
  <si>
    <t xml:space="preserve">Sous total Rémunération </t>
  </si>
  <si>
    <t>gré à gré ou AO</t>
  </si>
  <si>
    <t>Par trimestre</t>
  </si>
  <si>
    <t>Cumulatif par trimestre</t>
  </si>
  <si>
    <t xml:space="preserve">préalablement : screening, expert sauvegarde, …. </t>
  </si>
  <si>
    <t>Achat pour Nioki et Inongo au T3 puis pour les autres bases</t>
  </si>
  <si>
    <t>actualisation du Plan fait par REPALEF (gré à gré OSAPY)</t>
  </si>
  <si>
    <t>Diminution probable d'achat de tracteur en 2019 ; réaffectation de 69500$ sur les lignes VSAT (49500$) et Canots Rapides (20000$)</t>
  </si>
  <si>
    <t>G</t>
  </si>
  <si>
    <t>Supervision et suivi évaluations réalisées par l'UC-PIF</t>
  </si>
  <si>
    <t>G1</t>
  </si>
  <si>
    <t>Renforcement de l'UC-PIF avec un expert SE</t>
  </si>
  <si>
    <t>Renforcement de l'UC-PIF avec un expert GIS et gestion de base de données</t>
  </si>
  <si>
    <t>Perdiem et frais de déplacement de suivi évaluation (une mission de terrain tous les six mois)</t>
  </si>
  <si>
    <t>Réunions du Comité de pilotage du Projet</t>
  </si>
  <si>
    <t>Suivi-évaluation externe comptable des ALE</t>
  </si>
  <si>
    <t>Ateliers, formations, éditions, etc. (Réserve)</t>
  </si>
  <si>
    <t>G2</t>
  </si>
  <si>
    <t>G3</t>
  </si>
  <si>
    <t>G4</t>
  </si>
  <si>
    <t>G5</t>
  </si>
  <si>
    <t>G6</t>
  </si>
  <si>
    <t>G7</t>
  </si>
  <si>
    <t>Expert SE pris en charge par le PIREDD MBKIS</t>
  </si>
  <si>
    <t>COPIL de novembre</t>
  </si>
  <si>
    <t>Fonctionnement de l'UC-PIF au-delà de la date de clôture du PGAPF (pour mémoire phase 2)</t>
  </si>
  <si>
    <t>H</t>
  </si>
  <si>
    <t>Imprévus sur total coûts éligibles (4%)</t>
  </si>
  <si>
    <t>SOUS TOTAL ALE + PIF</t>
  </si>
  <si>
    <t>Expert SIG sur financements PGAPF</t>
  </si>
  <si>
    <t>Des missions/ formations sur la gestion financière / la comptablité, le SE et les sauvegardes seront organisées une fois les bases installées</t>
  </si>
  <si>
    <t>SOUS TOTAL ALE (MOD)</t>
  </si>
  <si>
    <t>Sous Total ALE (MOD)</t>
  </si>
  <si>
    <t>TOTAL ALE (MOD + REM)</t>
  </si>
  <si>
    <t>SOUS TOTAL ALE (MOD+REM)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</si>
</sst>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0&quot; mois&quot;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rgb="FF000000"/>
      <name val="Arial Black"/>
      <family val="2"/>
    </font>
    <font>
      <b/>
      <sz val="8"/>
      <color rgb="FF000000"/>
      <name val="Arial Black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3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7" fillId="0" borderId="13" xfId="3" applyFont="1" applyBorder="1" applyAlignment="1">
      <alignment horizontal="center" vertical="center"/>
    </xf>
    <xf numFmtId="9" fontId="7" fillId="0" borderId="13" xfId="3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9" fontId="7" fillId="0" borderId="13" xfId="3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horizontal="center" vertical="center" wrapText="1"/>
    </xf>
    <xf numFmtId="3" fontId="4" fillId="6" borderId="27" xfId="0" applyNumberFormat="1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9" fontId="3" fillId="6" borderId="13" xfId="3" applyNumberFormat="1" applyFont="1" applyFill="1" applyBorder="1" applyAlignment="1">
      <alignment horizontal="center" vertical="center" wrapText="1"/>
    </xf>
    <xf numFmtId="9" fontId="3" fillId="6" borderId="13" xfId="3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center" vertical="center" wrapText="1"/>
    </xf>
    <xf numFmtId="9" fontId="3" fillId="7" borderId="13" xfId="3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horizontal="center" vertical="center" wrapText="1"/>
    </xf>
    <xf numFmtId="9" fontId="3" fillId="8" borderId="13" xfId="3" applyFont="1" applyFill="1" applyBorder="1" applyAlignment="1">
      <alignment horizontal="center" vertical="center" wrapText="1"/>
    </xf>
    <xf numFmtId="9" fontId="7" fillId="6" borderId="13" xfId="3" applyFont="1" applyFill="1" applyBorder="1" applyAlignment="1">
      <alignment horizontal="center" vertical="center"/>
    </xf>
    <xf numFmtId="9" fontId="7" fillId="7" borderId="13" xfId="3" applyFont="1" applyFill="1" applyBorder="1" applyAlignment="1">
      <alignment horizontal="center" vertical="center"/>
    </xf>
    <xf numFmtId="9" fontId="13" fillId="6" borderId="13" xfId="3" applyFont="1" applyFill="1" applyBorder="1" applyAlignment="1">
      <alignment horizontal="center" vertical="center"/>
    </xf>
    <xf numFmtId="164" fontId="3" fillId="7" borderId="13" xfId="3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3" fontId="9" fillId="8" borderId="12" xfId="0" applyNumberFormat="1" applyFont="1" applyFill="1" applyBorder="1" applyAlignment="1">
      <alignment horizontal="center" vertical="center" wrapText="1"/>
    </xf>
    <xf numFmtId="164" fontId="9" fillId="8" borderId="7" xfId="3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vertical="center"/>
    </xf>
    <xf numFmtId="3" fontId="9" fillId="8" borderId="18" xfId="0" applyNumberFormat="1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3" fontId="9" fillId="8" borderId="22" xfId="0" applyNumberFormat="1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65" fontId="7" fillId="6" borderId="25" xfId="4" applyNumberFormat="1" applyFont="1" applyFill="1" applyBorder="1" applyAlignment="1">
      <alignment vertical="center"/>
    </xf>
    <xf numFmtId="165" fontId="7" fillId="0" borderId="8" xfId="4" applyNumberFormat="1" applyFont="1" applyBorder="1" applyAlignment="1">
      <alignment vertical="center"/>
    </xf>
    <xf numFmtId="165" fontId="7" fillId="6" borderId="8" xfId="4" applyNumberFormat="1" applyFont="1" applyFill="1" applyBorder="1" applyAlignment="1">
      <alignment vertical="center"/>
    </xf>
    <xf numFmtId="165" fontId="7" fillId="7" borderId="8" xfId="4" applyNumberFormat="1" applyFont="1" applyFill="1" applyBorder="1" applyAlignment="1">
      <alignment vertical="center"/>
    </xf>
    <xf numFmtId="165" fontId="7" fillId="0" borderId="8" xfId="4" applyNumberFormat="1" applyFont="1" applyFill="1" applyBorder="1" applyAlignment="1">
      <alignment vertical="center"/>
    </xf>
    <xf numFmtId="165" fontId="0" fillId="0" borderId="0" xfId="4" applyNumberFormat="1" applyFont="1" applyAlignment="1">
      <alignment vertical="center"/>
    </xf>
    <xf numFmtId="165" fontId="0" fillId="0" borderId="0" xfId="4" applyNumberFormat="1" applyFont="1" applyFill="1" applyAlignment="1">
      <alignment vertical="center"/>
    </xf>
    <xf numFmtId="0" fontId="19" fillId="9" borderId="38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left" vertical="center" wrapText="1"/>
    </xf>
    <xf numFmtId="0" fontId="17" fillId="11" borderId="38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10" borderId="38" xfId="0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7" fillId="12" borderId="38" xfId="0" applyFont="1" applyFill="1" applyBorder="1" applyAlignment="1">
      <alignment horizontal="left" vertical="center" wrapText="1"/>
    </xf>
    <xf numFmtId="0" fontId="17" fillId="0" borderId="3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10" borderId="3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10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5" fontId="2" fillId="2" borderId="31" xfId="4" applyNumberFormat="1" applyFont="1" applyFill="1" applyBorder="1" applyAlignment="1">
      <alignment horizontal="center" vertical="center" wrapText="1"/>
    </xf>
    <xf numFmtId="165" fontId="2" fillId="2" borderId="36" xfId="4" applyNumberFormat="1" applyFont="1" applyFill="1" applyBorder="1" applyAlignment="1">
      <alignment horizontal="center" vertical="center" wrapText="1"/>
    </xf>
    <xf numFmtId="165" fontId="2" fillId="2" borderId="24" xfId="4" applyNumberFormat="1" applyFont="1" applyFill="1" applyBorder="1" applyAlignment="1">
      <alignment horizontal="center" vertical="center" wrapText="1"/>
    </xf>
    <xf numFmtId="165" fontId="4" fillId="6" borderId="35" xfId="4" applyNumberFormat="1" applyFont="1" applyFill="1" applyBorder="1" applyAlignment="1">
      <alignment horizontal="center" vertical="center" wrapText="1"/>
    </xf>
    <xf numFmtId="165" fontId="7" fillId="6" borderId="0" xfId="4" applyNumberFormat="1" applyFont="1" applyFill="1" applyBorder="1" applyAlignment="1">
      <alignment horizontal="center" vertical="center" wrapText="1"/>
    </xf>
    <xf numFmtId="165" fontId="7" fillId="6" borderId="27" xfId="4" applyNumberFormat="1" applyFont="1" applyFill="1" applyBorder="1" applyAlignment="1">
      <alignment vertical="center"/>
    </xf>
    <xf numFmtId="165" fontId="7" fillId="0" borderId="23" xfId="4" applyNumberFormat="1" applyFont="1" applyBorder="1" applyAlignment="1">
      <alignment horizontal="center" vertical="center" wrapText="1"/>
    </xf>
    <xf numFmtId="165" fontId="7" fillId="0" borderId="9" xfId="4" applyNumberFormat="1" applyFont="1" applyBorder="1" applyAlignment="1">
      <alignment vertical="center"/>
    </xf>
    <xf numFmtId="165" fontId="7" fillId="6" borderId="23" xfId="4" applyNumberFormat="1" applyFont="1" applyFill="1" applyBorder="1" applyAlignment="1">
      <alignment horizontal="center" vertical="center" wrapText="1"/>
    </xf>
    <xf numFmtId="165" fontId="7" fillId="8" borderId="8" xfId="4" applyNumberFormat="1" applyFont="1" applyFill="1" applyBorder="1" applyAlignment="1">
      <alignment vertical="center"/>
    </xf>
    <xf numFmtId="165" fontId="7" fillId="8" borderId="23" xfId="4" applyNumberFormat="1" applyFont="1" applyFill="1" applyBorder="1" applyAlignment="1">
      <alignment horizontal="center" vertical="center" wrapText="1"/>
    </xf>
    <xf numFmtId="165" fontId="7" fillId="7" borderId="23" xfId="4" applyNumberFormat="1" applyFont="1" applyFill="1" applyBorder="1" applyAlignment="1">
      <alignment horizontal="center" vertical="center" wrapText="1"/>
    </xf>
    <xf numFmtId="165" fontId="7" fillId="0" borderId="23" xfId="4" applyNumberFormat="1" applyFont="1" applyFill="1" applyBorder="1" applyAlignment="1">
      <alignment horizontal="center" vertical="center" wrapText="1"/>
    </xf>
    <xf numFmtId="165" fontId="7" fillId="0" borderId="0" xfId="4" applyNumberFormat="1" applyFont="1" applyFill="1" applyBorder="1" applyAlignment="1">
      <alignment vertical="center"/>
    </xf>
    <xf numFmtId="165" fontId="7" fillId="8" borderId="6" xfId="4" applyNumberFormat="1" applyFont="1" applyFill="1" applyBorder="1" applyAlignment="1">
      <alignment vertical="center"/>
    </xf>
    <xf numFmtId="165" fontId="7" fillId="8" borderId="19" xfId="4" applyNumberFormat="1" applyFont="1" applyFill="1" applyBorder="1" applyAlignment="1">
      <alignment vertical="center"/>
    </xf>
    <xf numFmtId="165" fontId="0" fillId="0" borderId="0" xfId="4" applyNumberFormat="1" applyFont="1" applyAlignment="1">
      <alignment horizontal="center" vertical="center" wrapText="1"/>
    </xf>
    <xf numFmtId="165" fontId="7" fillId="6" borderId="25" xfId="4" applyNumberFormat="1" applyFont="1" applyFill="1" applyBorder="1" applyAlignment="1">
      <alignment horizontal="center" vertical="center"/>
    </xf>
    <xf numFmtId="165" fontId="7" fillId="0" borderId="8" xfId="4" applyNumberFormat="1" applyFont="1" applyBorder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165" fontId="0" fillId="0" borderId="0" xfId="4" applyNumberFormat="1" applyFont="1" applyFill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165" fontId="10" fillId="0" borderId="0" xfId="4" applyNumberFormat="1" applyFont="1" applyFill="1" applyAlignment="1">
      <alignment vertical="center"/>
    </xf>
    <xf numFmtId="165" fontId="10" fillId="0" borderId="0" xfId="4" applyNumberFormat="1" applyFont="1" applyFill="1" applyAlignment="1">
      <alignment horizontal="center" vertical="center" wrapText="1"/>
    </xf>
    <xf numFmtId="165" fontId="10" fillId="0" borderId="0" xfId="4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165" fontId="21" fillId="0" borderId="9" xfId="4" applyNumberFormat="1" applyFont="1" applyBorder="1" applyAlignment="1">
      <alignment horizontal="center" vertical="center" wrapText="1"/>
    </xf>
    <xf numFmtId="9" fontId="21" fillId="0" borderId="3" xfId="3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165" fontId="21" fillId="0" borderId="15" xfId="4" applyNumberFormat="1" applyFont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9" fontId="21" fillId="0" borderId="9" xfId="3" applyFont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21" fillId="13" borderId="41" xfId="0" applyFont="1" applyFill="1" applyBorder="1" applyAlignment="1">
      <alignment horizontal="center" vertical="center" wrapText="1"/>
    </xf>
    <xf numFmtId="165" fontId="21" fillId="13" borderId="15" xfId="0" applyNumberFormat="1" applyFont="1" applyFill="1" applyBorder="1" applyAlignment="1">
      <alignment horizontal="center" vertical="center" wrapText="1"/>
    </xf>
    <xf numFmtId="9" fontId="21" fillId="13" borderId="40" xfId="0" applyNumberFormat="1" applyFont="1" applyFill="1" applyBorder="1" applyAlignment="1">
      <alignment horizontal="center" vertical="center" wrapText="1"/>
    </xf>
    <xf numFmtId="0" fontId="21" fillId="13" borderId="42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center" vertical="center"/>
    </xf>
    <xf numFmtId="0" fontId="22" fillId="13" borderId="42" xfId="0" applyFont="1" applyFill="1" applyBorder="1" applyAlignment="1">
      <alignment horizontal="center" vertical="center" wrapText="1"/>
    </xf>
    <xf numFmtId="9" fontId="22" fillId="13" borderId="27" xfId="3" applyFont="1" applyFill="1" applyBorder="1" applyAlignment="1">
      <alignment horizontal="center" vertical="center" wrapText="1"/>
    </xf>
    <xf numFmtId="9" fontId="22" fillId="13" borderId="34" xfId="3" applyFont="1" applyFill="1" applyBorder="1" applyAlignment="1">
      <alignment horizontal="center" vertical="center" wrapText="1"/>
    </xf>
    <xf numFmtId="165" fontId="22" fillId="13" borderId="27" xfId="4" applyNumberFormat="1" applyFont="1" applyFill="1" applyBorder="1" applyAlignment="1">
      <alignment horizontal="center" vertical="center" wrapText="1"/>
    </xf>
    <xf numFmtId="165" fontId="2" fillId="2" borderId="29" xfId="4" applyNumberFormat="1" applyFont="1" applyFill="1" applyBorder="1" applyAlignment="1">
      <alignment horizontal="center" vertical="center" wrapText="1"/>
    </xf>
    <xf numFmtId="165" fontId="4" fillId="6" borderId="45" xfId="4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165" fontId="2" fillId="2" borderId="53" xfId="4" applyNumberFormat="1" applyFont="1" applyFill="1" applyBorder="1" applyAlignment="1">
      <alignment horizontal="center" vertical="center" wrapText="1"/>
    </xf>
    <xf numFmtId="165" fontId="2" fillId="2" borderId="0" xfId="4" applyNumberFormat="1" applyFont="1" applyFill="1" applyBorder="1" applyAlignment="1">
      <alignment horizontal="center" vertical="center" wrapText="1"/>
    </xf>
    <xf numFmtId="165" fontId="2" fillId="2" borderId="52" xfId="4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166" fontId="2" fillId="2" borderId="50" xfId="4" applyNumberFormat="1" applyFont="1" applyFill="1" applyBorder="1" applyAlignment="1">
      <alignment horizontal="center" vertical="center" wrapText="1"/>
    </xf>
    <xf numFmtId="165" fontId="2" fillId="2" borderId="37" xfId="4" applyNumberFormat="1" applyFont="1" applyFill="1" applyBorder="1" applyAlignment="1">
      <alignment horizontal="center" vertical="center" wrapText="1"/>
    </xf>
    <xf numFmtId="166" fontId="2" fillId="2" borderId="51" xfId="4" applyNumberFormat="1" applyFont="1" applyFill="1" applyBorder="1" applyAlignment="1">
      <alignment horizontal="center" vertical="center" wrapText="1"/>
    </xf>
    <xf numFmtId="165" fontId="7" fillId="6" borderId="34" xfId="4" applyNumberFormat="1" applyFont="1" applyFill="1" applyBorder="1" applyAlignment="1">
      <alignment vertical="center"/>
    </xf>
    <xf numFmtId="165" fontId="7" fillId="0" borderId="3" xfId="4" applyNumberFormat="1" applyFont="1" applyBorder="1" applyAlignment="1">
      <alignment vertical="center"/>
    </xf>
    <xf numFmtId="166" fontId="2" fillId="2" borderId="53" xfId="4" applyNumberFormat="1" applyFont="1" applyFill="1" applyBorder="1" applyAlignment="1">
      <alignment horizontal="center" vertical="center" wrapText="1"/>
    </xf>
    <xf numFmtId="3" fontId="3" fillId="6" borderId="46" xfId="4" applyNumberFormat="1" applyFont="1" applyFill="1" applyBorder="1" applyAlignment="1">
      <alignment horizontal="center" vertical="center" wrapText="1"/>
    </xf>
    <xf numFmtId="3" fontId="3" fillId="6" borderId="14" xfId="4" applyNumberFormat="1" applyFont="1" applyFill="1" applyBorder="1" applyAlignment="1">
      <alignment horizontal="center" vertical="center" wrapText="1"/>
    </xf>
    <xf numFmtId="3" fontId="3" fillId="8" borderId="46" xfId="4" applyNumberFormat="1" applyFont="1" applyFill="1" applyBorder="1" applyAlignment="1">
      <alignment horizontal="center" vertical="center" wrapText="1"/>
    </xf>
    <xf numFmtId="3" fontId="3" fillId="8" borderId="14" xfId="4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46" xfId="4" applyNumberFormat="1" applyFont="1" applyFill="1" applyBorder="1" applyAlignment="1">
      <alignment horizontal="center" vertical="center" wrapText="1"/>
    </xf>
    <xf numFmtId="3" fontId="4" fillId="6" borderId="14" xfId="4" applyNumberFormat="1" applyFont="1" applyFill="1" applyBorder="1" applyAlignment="1">
      <alignment horizontal="center" vertical="center" wrapText="1"/>
    </xf>
    <xf numFmtId="3" fontId="3" fillId="7" borderId="46" xfId="4" applyNumberFormat="1" applyFont="1" applyFill="1" applyBorder="1" applyAlignment="1">
      <alignment horizontal="center" vertical="center" wrapText="1"/>
    </xf>
    <xf numFmtId="3" fontId="3" fillId="7" borderId="14" xfId="4" applyNumberFormat="1" applyFont="1" applyFill="1" applyBorder="1" applyAlignment="1">
      <alignment horizontal="center" vertical="center" wrapText="1"/>
    </xf>
    <xf numFmtId="3" fontId="3" fillId="4" borderId="46" xfId="4" applyNumberFormat="1" applyFont="1" applyFill="1" applyBorder="1" applyAlignment="1">
      <alignment horizontal="center" vertical="center" wrapText="1"/>
    </xf>
    <xf numFmtId="3" fontId="3" fillId="4" borderId="14" xfId="4" applyNumberFormat="1" applyFont="1" applyFill="1" applyBorder="1" applyAlignment="1">
      <alignment horizontal="center" vertical="center" wrapText="1"/>
    </xf>
    <xf numFmtId="3" fontId="9" fillId="8" borderId="47" xfId="4" applyNumberFormat="1" applyFont="1" applyFill="1" applyBorder="1" applyAlignment="1">
      <alignment horizontal="center" vertical="center" wrapText="1"/>
    </xf>
    <xf numFmtId="3" fontId="9" fillId="8" borderId="12" xfId="4" applyNumberFormat="1" applyFont="1" applyFill="1" applyBorder="1" applyAlignment="1">
      <alignment horizontal="center" vertical="center" wrapText="1"/>
    </xf>
    <xf numFmtId="3" fontId="7" fillId="0" borderId="46" xfId="4" applyNumberFormat="1" applyFont="1" applyBorder="1" applyAlignment="1">
      <alignment horizontal="center" vertical="center"/>
    </xf>
    <xf numFmtId="3" fontId="7" fillId="0" borderId="14" xfId="4" applyNumberFormat="1" applyFont="1" applyBorder="1" applyAlignment="1">
      <alignment horizontal="center" vertical="center"/>
    </xf>
    <xf numFmtId="3" fontId="7" fillId="4" borderId="46" xfId="4" applyNumberFormat="1" applyFont="1" applyFill="1" applyBorder="1" applyAlignment="1">
      <alignment horizontal="center" vertical="center"/>
    </xf>
    <xf numFmtId="3" fontId="7" fillId="4" borderId="14" xfId="4" applyNumberFormat="1" applyFont="1" applyFill="1" applyBorder="1" applyAlignment="1">
      <alignment horizontal="center" vertical="center"/>
    </xf>
    <xf numFmtId="3" fontId="7" fillId="0" borderId="46" xfId="4" applyNumberFormat="1" applyFont="1" applyFill="1" applyBorder="1" applyAlignment="1">
      <alignment horizontal="center" vertical="center"/>
    </xf>
    <xf numFmtId="3" fontId="7" fillId="0" borderId="14" xfId="4" applyNumberFormat="1" applyFont="1" applyFill="1" applyBorder="1" applyAlignment="1">
      <alignment horizontal="center" vertical="center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48" xfId="4" applyNumberFormat="1" applyFont="1" applyFill="1" applyBorder="1" applyAlignment="1">
      <alignment horizontal="center" vertical="center" wrapText="1"/>
    </xf>
    <xf numFmtId="3" fontId="9" fillId="8" borderId="21" xfId="4" applyNumberFormat="1" applyFont="1" applyFill="1" applyBorder="1" applyAlignment="1">
      <alignment horizontal="center" vertical="center" wrapText="1"/>
    </xf>
    <xf numFmtId="167" fontId="7" fillId="0" borderId="8" xfId="4" applyNumberFormat="1" applyFont="1" applyBorder="1" applyAlignment="1">
      <alignment horizontal="center" vertical="center"/>
    </xf>
    <xf numFmtId="167" fontId="3" fillId="6" borderId="8" xfId="4" applyNumberFormat="1" applyFont="1" applyFill="1" applyBorder="1" applyAlignment="1">
      <alignment horizontal="center" vertical="center" wrapText="1"/>
    </xf>
    <xf numFmtId="167" fontId="3" fillId="8" borderId="8" xfId="4" applyNumberFormat="1" applyFont="1" applyFill="1" applyBorder="1" applyAlignment="1">
      <alignment horizontal="center" vertical="center" wrapText="1"/>
    </xf>
    <xf numFmtId="167" fontId="7" fillId="6" borderId="8" xfId="4" applyNumberFormat="1" applyFont="1" applyFill="1" applyBorder="1" applyAlignment="1">
      <alignment horizontal="center" vertical="center"/>
    </xf>
    <xf numFmtId="167" fontId="7" fillId="7" borderId="8" xfId="4" applyNumberFormat="1" applyFont="1" applyFill="1" applyBorder="1" applyAlignment="1">
      <alignment horizontal="center" vertical="center"/>
    </xf>
    <xf numFmtId="167" fontId="3" fillId="7" borderId="8" xfId="4" applyNumberFormat="1" applyFont="1" applyFill="1" applyBorder="1" applyAlignment="1">
      <alignment horizontal="center" vertical="center" wrapText="1"/>
    </xf>
    <xf numFmtId="167" fontId="9" fillId="8" borderId="6" xfId="4" applyNumberFormat="1" applyFont="1" applyFill="1" applyBorder="1" applyAlignment="1">
      <alignment horizontal="center" vertical="center" wrapText="1"/>
    </xf>
    <xf numFmtId="167" fontId="9" fillId="8" borderId="19" xfId="4" applyNumberFormat="1" applyFont="1" applyFill="1" applyBorder="1" applyAlignment="1">
      <alignment horizontal="center" vertical="center" wrapText="1"/>
    </xf>
    <xf numFmtId="167" fontId="7" fillId="0" borderId="9" xfId="4" applyNumberFormat="1" applyFont="1" applyBorder="1" applyAlignment="1">
      <alignment horizontal="center" vertical="center"/>
    </xf>
    <xf numFmtId="167" fontId="7" fillId="0" borderId="3" xfId="4" applyNumberFormat="1" applyFont="1" applyBorder="1" applyAlignment="1">
      <alignment horizontal="center" vertical="center"/>
    </xf>
    <xf numFmtId="167" fontId="7" fillId="6" borderId="9" xfId="4" applyNumberFormat="1" applyFont="1" applyFill="1" applyBorder="1" applyAlignment="1">
      <alignment horizontal="center" vertical="center"/>
    </xf>
    <xf numFmtId="167" fontId="7" fillId="6" borderId="3" xfId="4" applyNumberFormat="1" applyFont="1" applyFill="1" applyBorder="1" applyAlignment="1">
      <alignment horizontal="center" vertical="center"/>
    </xf>
    <xf numFmtId="167" fontId="7" fillId="8" borderId="9" xfId="4" applyNumberFormat="1" applyFont="1" applyFill="1" applyBorder="1" applyAlignment="1">
      <alignment horizontal="center" vertical="center"/>
    </xf>
    <xf numFmtId="167" fontId="7" fillId="8" borderId="3" xfId="4" applyNumberFormat="1" applyFont="1" applyFill="1" applyBorder="1" applyAlignment="1">
      <alignment horizontal="center" vertical="center"/>
    </xf>
    <xf numFmtId="167" fontId="7" fillId="7" borderId="9" xfId="4" applyNumberFormat="1" applyFont="1" applyFill="1" applyBorder="1" applyAlignment="1">
      <alignment horizontal="center" vertical="center"/>
    </xf>
    <xf numFmtId="167" fontId="7" fillId="7" borderId="3" xfId="4" applyNumberFormat="1" applyFont="1" applyFill="1" applyBorder="1" applyAlignment="1">
      <alignment horizontal="center" vertical="center"/>
    </xf>
    <xf numFmtId="167" fontId="7" fillId="0" borderId="9" xfId="4" applyNumberFormat="1" applyFont="1" applyFill="1" applyBorder="1" applyAlignment="1">
      <alignment horizontal="center" vertical="center"/>
    </xf>
    <xf numFmtId="167" fontId="10" fillId="2" borderId="10" xfId="4" applyNumberFormat="1" applyFont="1" applyFill="1" applyBorder="1" applyAlignment="1">
      <alignment horizontal="center" vertical="center"/>
    </xf>
    <xf numFmtId="167" fontId="10" fillId="2" borderId="18" xfId="4" applyNumberFormat="1" applyFont="1" applyFill="1" applyBorder="1" applyAlignment="1">
      <alignment horizontal="center" vertical="center" wrapText="1"/>
    </xf>
    <xf numFmtId="167" fontId="10" fillId="2" borderId="20" xfId="4" applyNumberFormat="1" applyFont="1" applyFill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Fill="1" applyAlignment="1">
      <alignment vertical="center"/>
    </xf>
    <xf numFmtId="165" fontId="7" fillId="0" borderId="23" xfId="4" applyNumberFormat="1" applyFont="1" applyBorder="1" applyAlignment="1">
      <alignment horizontal="center" vertical="center" wrapText="1"/>
    </xf>
    <xf numFmtId="165" fontId="0" fillId="0" borderId="9" xfId="4" applyNumberFormat="1" applyFont="1" applyBorder="1" applyAlignme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5" fontId="7" fillId="0" borderId="9" xfId="4" applyNumberFormat="1" applyFont="1" applyFill="1" applyBorder="1" applyAlignment="1">
      <alignment vertical="center"/>
    </xf>
    <xf numFmtId="165" fontId="7" fillId="0" borderId="8" xfId="4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4" fillId="6" borderId="9" xfId="4" applyNumberFormat="1" applyFont="1" applyFill="1" applyBorder="1" applyAlignment="1">
      <alignment horizontal="center" vertical="center" wrapText="1"/>
    </xf>
    <xf numFmtId="165" fontId="7" fillId="6" borderId="9" xfId="4" applyNumberFormat="1" applyFont="1" applyFill="1" applyBorder="1" applyAlignment="1">
      <alignment vertical="center"/>
    </xf>
    <xf numFmtId="165" fontId="7" fillId="6" borderId="9" xfId="4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7" fillId="3" borderId="45" xfId="4" applyNumberFormat="1" applyFont="1" applyFill="1" applyBorder="1" applyAlignment="1">
      <alignment horizontal="center" vertical="center"/>
    </xf>
    <xf numFmtId="3" fontId="7" fillId="3" borderId="35" xfId="4" applyNumberFormat="1" applyFont="1" applyFill="1" applyBorder="1" applyAlignment="1">
      <alignment horizontal="center" vertical="center"/>
    </xf>
    <xf numFmtId="165" fontId="7" fillId="3" borderId="25" xfId="4" applyNumberFormat="1" applyFont="1" applyFill="1" applyBorder="1" applyAlignment="1">
      <alignment vertical="center"/>
    </xf>
    <xf numFmtId="165" fontId="7" fillId="3" borderId="27" xfId="4" applyNumberFormat="1" applyFont="1" applyFill="1" applyBorder="1" applyAlignment="1">
      <alignment vertical="center"/>
    </xf>
    <xf numFmtId="165" fontId="7" fillId="3" borderId="34" xfId="4" applyNumberFormat="1" applyFont="1" applyFill="1" applyBorder="1" applyAlignment="1">
      <alignment vertical="center"/>
    </xf>
    <xf numFmtId="165" fontId="13" fillId="3" borderId="25" xfId="4" applyNumberFormat="1" applyFont="1" applyFill="1" applyBorder="1" applyAlignment="1">
      <alignment horizontal="center" vertical="center"/>
    </xf>
    <xf numFmtId="9" fontId="13" fillId="3" borderId="26" xfId="3" applyFont="1" applyFill="1" applyBorder="1" applyAlignment="1">
      <alignment horizontal="center" vertical="center"/>
    </xf>
    <xf numFmtId="165" fontId="7" fillId="0" borderId="23" xfId="4" quotePrefix="1" applyNumberFormat="1" applyFont="1" applyFill="1" applyBorder="1" applyAlignment="1">
      <alignment horizontal="center" vertical="center" wrapText="1"/>
    </xf>
    <xf numFmtId="167" fontId="7" fillId="0" borderId="3" xfId="4" applyNumberFormat="1" applyFont="1" applyFill="1" applyBorder="1" applyAlignment="1">
      <alignment horizontal="center" vertical="center"/>
    </xf>
    <xf numFmtId="167" fontId="7" fillId="0" borderId="8" xfId="4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5" fontId="7" fillId="0" borderId="0" xfId="4" applyNumberFormat="1" applyFont="1" applyFill="1" applyBorder="1" applyAlignment="1">
      <alignment horizontal="center" vertical="center"/>
    </xf>
    <xf numFmtId="167" fontId="10" fillId="2" borderId="55" xfId="4" applyNumberFormat="1" applyFont="1" applyFill="1" applyBorder="1" applyAlignment="1">
      <alignment horizontal="center" vertical="center"/>
    </xf>
    <xf numFmtId="165" fontId="7" fillId="6" borderId="3" xfId="4" applyNumberFormat="1" applyFont="1" applyFill="1" applyBorder="1" applyAlignment="1">
      <alignment vertical="center"/>
    </xf>
    <xf numFmtId="165" fontId="7" fillId="0" borderId="3" xfId="4" applyNumberFormat="1" applyFont="1" applyFill="1" applyBorder="1" applyAlignment="1">
      <alignment vertical="center"/>
    </xf>
    <xf numFmtId="167" fontId="10" fillId="2" borderId="47" xfId="4" applyNumberFormat="1" applyFont="1" applyFill="1" applyBorder="1" applyAlignment="1">
      <alignment horizontal="center" vertical="center"/>
    </xf>
    <xf numFmtId="165" fontId="7" fillId="6" borderId="8" xfId="4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7" fontId="10" fillId="2" borderId="58" xfId="4" applyNumberFormat="1" applyFont="1" applyFill="1" applyBorder="1" applyAlignment="1">
      <alignment horizontal="center" vertical="center" wrapText="1"/>
    </xf>
    <xf numFmtId="165" fontId="7" fillId="8" borderId="2" xfId="4" applyNumberFormat="1" applyFont="1" applyFill="1" applyBorder="1" applyAlignment="1">
      <alignment horizontal="right" vertical="center" wrapText="1"/>
    </xf>
    <xf numFmtId="165" fontId="7" fillId="8" borderId="17" xfId="4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/>
    </xf>
    <xf numFmtId="165" fontId="7" fillId="3" borderId="9" xfId="4" applyNumberFormat="1" applyFont="1" applyFill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13" fillId="7" borderId="9" xfId="0" applyFont="1" applyFill="1" applyBorder="1" applyAlignment="1">
      <alignment vertical="center" wrapText="1"/>
    </xf>
    <xf numFmtId="165" fontId="23" fillId="7" borderId="23" xfId="4" applyNumberFormat="1" applyFont="1" applyFill="1" applyBorder="1" applyAlignment="1">
      <alignment horizontal="left" vertical="center" wrapText="1"/>
    </xf>
    <xf numFmtId="165" fontId="7" fillId="14" borderId="23" xfId="4" applyNumberFormat="1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56" xfId="4" applyNumberFormat="1" applyFont="1" applyFill="1" applyBorder="1" applyAlignment="1">
      <alignment horizontal="center" vertical="center" wrapText="1"/>
    </xf>
    <xf numFmtId="165" fontId="2" fillId="2" borderId="42" xfId="4" applyNumberFormat="1" applyFont="1" applyFill="1" applyBorder="1" applyAlignment="1">
      <alignment horizontal="center" vertical="center" wrapText="1"/>
    </xf>
    <xf numFmtId="165" fontId="7" fillId="0" borderId="23" xfId="4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/>
    </xf>
    <xf numFmtId="0" fontId="18" fillId="9" borderId="5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39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</cellXfs>
  <cellStyles count="5">
    <cellStyle name="Milliers" xfId="4" builtinId="3"/>
    <cellStyle name="Milliers [0]" xfId="1" builtinId="6"/>
    <cellStyle name="Normal" xfId="0" builtinId="0"/>
    <cellStyle name="Normal 4" xfId="2" xr:uid="{00000000-0005-0000-0000-000003000000}"/>
    <cellStyle name="Pourcentage" xfId="3" builtinId="5"/>
  </cellStyles>
  <dxfs count="6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\ _€_-;\-* #,##0\ _€_-;_-* &quot;-&quot;??\ _€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rgb="FF6699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rgb="FF6699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\ _€_-;\-* #,##0\ _€_-;_-* &quot;-&quot;??\ _€_-;_-@_-"/>
      <fill>
        <patternFill patternType="solid">
          <fgColor indexed="64"/>
          <bgColor rgb="FF6699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\ _€_-;\-* #,##0\ _€_-;_-* &quot;-&quot;??\ _€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rgb="FF6699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\ _€_-;\-* #,##0\ _€_-;_-* &quot;-&quot;??\ _€_-;_-@_-"/>
      <fill>
        <patternFill patternType="solid">
          <fgColor indexed="64"/>
          <bgColor rgb="FF6699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\ _€_-;\-* #,##0\ _€_-;_-* &quot;-&quot;??\ _€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669900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6699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6699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9900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Répartition des dépenses du budget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- total (cercle extérieur)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- sur les 7 premiers mois (cercle intérieur)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3"/>
          <c:order val="0"/>
          <c:tx>
            <c:strRef>
              <c:f>'Tableaux &amp; Graphiques'!$E$1</c:f>
              <c:strCache>
                <c:ptCount val="1"/>
                <c:pt idx="0">
                  <c:v>% budget 7 mois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75-4275-8E2E-F425B90AD9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75-4275-8E2E-F425B90AD9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75-4275-8E2E-F425B90AD9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75-4275-8E2E-F425B90AD9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'Tableaux &amp; Graphiques'!$A$2:$A$5</c:f>
              <c:strCache>
                <c:ptCount val="4"/>
                <c:pt idx="0">
                  <c:v>Ressources humaines </c:v>
                </c:pt>
                <c:pt idx="1">
                  <c:v>Equipements </c:v>
                </c:pt>
                <c:pt idx="2">
                  <c:v>Fonctionnement projet</c:v>
                </c:pt>
                <c:pt idx="3">
                  <c:v>Mise en œuvre des activités</c:v>
                </c:pt>
              </c:strCache>
            </c:strRef>
          </c:cat>
          <c:val>
            <c:numRef>
              <c:f>'Tableaux &amp; Graphiques'!$E$2:$E$5</c:f>
              <c:numCache>
                <c:formatCode>0%</c:formatCode>
                <c:ptCount val="4"/>
                <c:pt idx="0">
                  <c:v>7.77158219852538E-2</c:v>
                </c:pt>
                <c:pt idx="1">
                  <c:v>0.45629793020201026</c:v>
                </c:pt>
                <c:pt idx="2">
                  <c:v>8.797361504371011E-2</c:v>
                </c:pt>
                <c:pt idx="3">
                  <c:v>0.37801263276902575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F-4A3B-B3F3-5E365DAB64DF}"/>
            </c:ext>
          </c:extLst>
        </c:ser>
        <c:ser>
          <c:idx val="1"/>
          <c:order val="1"/>
          <c:tx>
            <c:strRef>
              <c:f>'Tableaux &amp; Graphiques'!$C$1</c:f>
              <c:strCache>
                <c:ptCount val="1"/>
                <c:pt idx="0">
                  <c:v>% budget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75-4275-8E2E-F425B90AD9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75-4275-8E2E-F425B90AD9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75-4275-8E2E-F425B90AD9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75-4275-8E2E-F425B90AD9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'Tableaux &amp; Graphiques'!$A$2:$A$5</c:f>
              <c:strCache>
                <c:ptCount val="4"/>
                <c:pt idx="0">
                  <c:v>Ressources humaines </c:v>
                </c:pt>
                <c:pt idx="1">
                  <c:v>Equipements </c:v>
                </c:pt>
                <c:pt idx="2">
                  <c:v>Fonctionnement projet</c:v>
                </c:pt>
                <c:pt idx="3">
                  <c:v>Mise en œuvre des activités</c:v>
                </c:pt>
              </c:strCache>
            </c:strRef>
          </c:cat>
          <c:val>
            <c:numRef>
              <c:f>'Tableaux &amp; Graphiques'!$C$2:$C$5</c:f>
              <c:numCache>
                <c:formatCode>0%</c:formatCode>
                <c:ptCount val="4"/>
                <c:pt idx="0">
                  <c:v>7.5092283918319527E-2</c:v>
                </c:pt>
                <c:pt idx="1">
                  <c:v>6.8856509926577047E-2</c:v>
                </c:pt>
                <c:pt idx="2">
                  <c:v>5.0273765012227932E-2</c:v>
                </c:pt>
                <c:pt idx="3">
                  <c:v>0.80577744114287553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F-4A3B-B3F3-5E365DAB64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2045259048502"/>
          <c:y val="0.32344337269434964"/>
          <c:w val="0.20837810714837121"/>
          <c:h val="0.3969679770559779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Répartition des dépenses des activités </a:t>
            </a:r>
            <a:endParaRPr lang="fr-F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- total (cercle extérieur)</a:t>
            </a:r>
            <a:endParaRPr lang="fr-F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- sur les 7 premiers mois (cercle intérieur)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3"/>
          <c:order val="0"/>
          <c:tx>
            <c:strRef>
              <c:f>'Tableaux &amp; Graphiques'!$K$1</c:f>
              <c:strCache>
                <c:ptCount val="1"/>
                <c:pt idx="0">
                  <c:v>% Part Buget 7 mois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3C7-40DC-9DC9-BA1214C779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C7-40DC-9DC9-BA1214C779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3C7-40DC-9DC9-BA1214C77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C7-40DC-9DC9-BA1214C779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3C7-40DC-9DC9-BA1214C779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C7-40DC-9DC9-BA1214C779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3C7-40DC-9DC9-BA1214C779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C7-40DC-9DC9-BA1214C779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23C7-40DC-9DC9-BA1214C779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'Tableaux &amp; Graphiques'!$G$2:$G$11</c15:sqref>
                  </c15:fullRef>
                </c:ext>
              </c:extLst>
              <c:f>'Tableaux &amp; Graphiques'!$G$2:$G$10</c:f>
              <c:strCache>
                <c:ptCount val="9"/>
                <c:pt idx="0">
                  <c:v>Gouvernance des ressources naturelles du 4 Territoires </c:v>
                </c:pt>
                <c:pt idx="1">
                  <c:v>Renforcement des capacités des services techniques déconcentrés</c:v>
                </c:pt>
                <c:pt idx="2">
                  <c:v>Réalisation des investissements structurants</c:v>
                </c:pt>
                <c:pt idx="3">
                  <c:v>Aide aux CLD à planifier la meilleure gestion des Ressources naturelles</c:v>
                </c:pt>
                <c:pt idx="4">
                  <c:v>Appui aux investissements des PDD de CLD et à la recherche développement</c:v>
                </c:pt>
                <c:pt idx="5">
                  <c:v>Contrats pour paiement au Résultat</c:v>
                </c:pt>
                <c:pt idx="6">
                  <c:v>Soutien au développement de filières (café, cacao, hévéa, huile de palme)</c:v>
                </c:pt>
                <c:pt idx="7">
                  <c:v>Initiation au planning familial (contrats avec ONG locale) et à la prévention d'Ebola et du VIH SIDA</c:v>
                </c:pt>
                <c:pt idx="8">
                  <c:v>Plan pour les Peuples Autochtones</c:v>
                </c:pt>
                <c:pt idx="9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'Tableaux &amp; Graphiques'!$K$2:$K$10</c15:sqref>
                  </c15:fullRef>
                </c:ext>
              </c:extLst>
              <c:f>'Tableaux &amp; Graphiques'!$K$2:$K$10</c:f>
              <c:numCache>
                <c:formatCode>0%</c:formatCode>
                <c:ptCount val="9"/>
                <c:pt idx="0">
                  <c:v>0.16787594578027631</c:v>
                </c:pt>
                <c:pt idx="1">
                  <c:v>8.115920438121807E-2</c:v>
                </c:pt>
                <c:pt idx="2">
                  <c:v>0.29895716371830028</c:v>
                </c:pt>
                <c:pt idx="3">
                  <c:v>0.20697034411266943</c:v>
                </c:pt>
                <c:pt idx="4">
                  <c:v>0.12648187695774243</c:v>
                </c:pt>
                <c:pt idx="5">
                  <c:v>1.6557627529013554E-2</c:v>
                </c:pt>
                <c:pt idx="6">
                  <c:v>5.6004427717964454E-2</c:v>
                </c:pt>
                <c:pt idx="7">
                  <c:v>0</c:v>
                </c:pt>
                <c:pt idx="8">
                  <c:v>4.5993409802815431E-2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42-4E7B-ACE6-EEE7206DE849}"/>
            </c:ext>
          </c:extLst>
        </c:ser>
        <c:ser>
          <c:idx val="1"/>
          <c:order val="1"/>
          <c:tx>
            <c:strRef>
              <c:f>'Tableaux &amp; Graphiques'!$I$1</c:f>
              <c:strCache>
                <c:ptCount val="1"/>
                <c:pt idx="0">
                  <c:v>% Part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3C7-40DC-9DC9-BA1214C779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3C7-40DC-9DC9-BA1214C779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3C7-40DC-9DC9-BA1214C77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3C7-40DC-9DC9-BA1214C779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3C7-40DC-9DC9-BA1214C779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23C7-40DC-9DC9-BA1214C779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3C7-40DC-9DC9-BA1214C779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23C7-40DC-9DC9-BA1214C779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3C7-40DC-9DC9-BA1214C779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'Tableaux &amp; Graphiques'!$G$2:$G$11</c15:sqref>
                  </c15:fullRef>
                </c:ext>
              </c:extLst>
              <c:f>'Tableaux &amp; Graphiques'!$G$2:$G$10</c:f>
              <c:strCache>
                <c:ptCount val="9"/>
                <c:pt idx="0">
                  <c:v>Gouvernance des ressources naturelles du 4 Territoires </c:v>
                </c:pt>
                <c:pt idx="1">
                  <c:v>Renforcement des capacités des services techniques déconcentrés</c:v>
                </c:pt>
                <c:pt idx="2">
                  <c:v>Réalisation des investissements structurants</c:v>
                </c:pt>
                <c:pt idx="3">
                  <c:v>Aide aux CLD à planifier la meilleure gestion des Ressources naturelles</c:v>
                </c:pt>
                <c:pt idx="4">
                  <c:v>Appui aux investissements des PDD de CLD et à la recherche développement</c:v>
                </c:pt>
                <c:pt idx="5">
                  <c:v>Contrats pour paiement au Résultat</c:v>
                </c:pt>
                <c:pt idx="6">
                  <c:v>Soutien au développement de filières (café, cacao, hévéa, huile de palme)</c:v>
                </c:pt>
                <c:pt idx="7">
                  <c:v>Initiation au planning familial (contrats avec ONG locale) et à la prévention d'Ebola et du VIH SIDA</c:v>
                </c:pt>
                <c:pt idx="8">
                  <c:v>Plan pour les Peuples Autochtones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'Tableaux &amp; Graphiques'!$I$2:$I$11</c15:sqref>
                  </c15:fullRef>
                </c:ext>
              </c:extLst>
              <c:f>'Tableaux &amp; Graphiques'!$I$2:$I$10</c:f>
              <c:numCache>
                <c:formatCode>0%</c:formatCode>
                <c:ptCount val="9"/>
                <c:pt idx="0">
                  <c:v>1.7951335218595727E-2</c:v>
                </c:pt>
                <c:pt idx="1">
                  <c:v>1.9806592829704185E-2</c:v>
                </c:pt>
                <c:pt idx="2">
                  <c:v>0.2584294832042498</c:v>
                </c:pt>
                <c:pt idx="3">
                  <c:v>0.10564661396589831</c:v>
                </c:pt>
                <c:pt idx="4">
                  <c:v>0.15582446102189651</c:v>
                </c:pt>
                <c:pt idx="5">
                  <c:v>0.34786080208283587</c:v>
                </c:pt>
                <c:pt idx="6">
                  <c:v>2.5767466820950807E-2</c:v>
                </c:pt>
                <c:pt idx="7">
                  <c:v>2.5767466820950807E-2</c:v>
                </c:pt>
                <c:pt idx="8">
                  <c:v>4.294577803491801E-2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1-D242-4E7B-ACE6-EEE7206DE8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16934</xdr:colOff>
      <xdr:row>6</xdr:row>
      <xdr:rowOff>194732</xdr:rowOff>
    </xdr:from>
    <xdr:to>
      <xdr:col>5</xdr:col>
      <xdr:colOff>16933</xdr:colOff>
      <xdr:row>24</xdr:row>
      <xdr:rowOff>110066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194734</xdr:rowOff>
    </xdr:from>
    <xdr:to>
      <xdr:col>11</xdr:col>
      <xdr:colOff>0</xdr:colOff>
      <xdr:row>24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57</xdr:row>
      <xdr:rowOff>0</xdr:rowOff>
    </xdr:from>
    <xdr:to>
      <xdr:col>7</xdr:col>
      <xdr:colOff>281940</xdr:colOff>
      <xdr:row>57</xdr:row>
      <xdr:rowOff>259080</xdr:rowOff>
    </xdr:to>
    <xdr:pic>
      <xdr:nvPicPr>
        <xdr:cNvPr id="2" name="Image 1" descr="Liv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4894326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5</xdr:col>
      <xdr:colOff>281940</xdr:colOff>
      <xdr:row>58</xdr:row>
      <xdr:rowOff>259080</xdr:rowOff>
    </xdr:to>
    <xdr:pic>
      <xdr:nvPicPr>
        <xdr:cNvPr id="3" name="Image 2" descr="Liv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78908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281940</xdr:colOff>
      <xdr:row>59</xdr:row>
      <xdr:rowOff>259080</xdr:rowOff>
    </xdr:to>
    <xdr:pic>
      <xdr:nvPicPr>
        <xdr:cNvPr id="4" name="Image 3" descr="Livr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029962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281940</xdr:colOff>
      <xdr:row>60</xdr:row>
      <xdr:rowOff>259080</xdr:rowOff>
    </xdr:to>
    <xdr:pic>
      <xdr:nvPicPr>
        <xdr:cNvPr id="5" name="Image 4" descr="Livr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114544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8</xdr:col>
      <xdr:colOff>281940</xdr:colOff>
      <xdr:row>60</xdr:row>
      <xdr:rowOff>259080</xdr:rowOff>
    </xdr:to>
    <xdr:pic>
      <xdr:nvPicPr>
        <xdr:cNvPr id="6" name="Image 5" descr="Livr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40" y="5114544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8</xdr:col>
      <xdr:colOff>281940</xdr:colOff>
      <xdr:row>61</xdr:row>
      <xdr:rowOff>259080</xdr:rowOff>
    </xdr:to>
    <xdr:pic>
      <xdr:nvPicPr>
        <xdr:cNvPr id="8" name="Image 7" descr="Livre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40" y="51823620"/>
          <a:ext cx="2819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E6" totalsRowCount="1" headerRowDxfId="25" dataDxfId="23" totalsRowDxfId="21" headerRowBorderDxfId="24" tableBorderDxfId="22" totalsRowBorderDxfId="20">
  <autoFilter ref="A1:E5" xr:uid="{00000000-0009-0000-0100-000001000000}"/>
  <tableColumns count="5">
    <tableColumn id="1" xr3:uid="{00000000-0010-0000-0000-000001000000}" name="Grandes Lignes Budgétaires" totalsRowLabel="Total" dataDxfId="19" totalsRowDxfId="18">
      <calculatedColumnFormula>'PTBA ALE'!D7</calculatedColumnFormula>
    </tableColumn>
    <tableColumn id="2" xr3:uid="{00000000-0010-0000-0000-000002000000}" name="Répartition Montant Délégué Global" totalsRowFunction="custom" dataDxfId="17" totalsRowDxfId="16" dataCellStyle="Milliers">
      <calculatedColumnFormula>'PTBA ALE'!#REF!</calculatedColumnFormula>
      <totalsRowFormula>SUM(Tableau1[Répartition Montant Délégué Global])</totalsRowFormula>
    </tableColumn>
    <tableColumn id="3" xr3:uid="{00000000-0010-0000-0000-000003000000}" name="% budget total" totalsRowFunction="custom" dataDxfId="15" totalsRowDxfId="14" dataCellStyle="Pourcentage">
      <calculatedColumnFormula>Tableau1[[#This Row],[Répartition Montant Délégué Global]]/$B$6</calculatedColumnFormula>
      <totalsRowFormula>Tableau1[[#Totals],[Répartition Montant Délégué Global]]/$B$6</totalsRowFormula>
    </tableColumn>
    <tableColumn id="4" xr3:uid="{00000000-0010-0000-0000-000004000000}" name="Répartition dépenses - 7 premiers mois" totalsRowFunction="custom" dataDxfId="13" totalsRowDxfId="12" dataCellStyle="Milliers">
      <calculatedColumnFormula>'PTBA ALE'!Q24</calculatedColumnFormula>
      <totalsRowFormula>SUM(D2:D5)</totalsRowFormula>
    </tableColumn>
    <tableColumn id="5" xr3:uid="{00000000-0010-0000-0000-000005000000}" name="% budget 7 mois" totalsRowFunction="custom" dataDxfId="11" totalsRowDxfId="10" dataCellStyle="Pourcentage">
      <calculatedColumnFormula>Tableau1[[#This Row],[Répartition dépenses - 7 premiers mois]]/$D$6</calculatedColumnFormula>
      <totalsRowFormula>Tableau1[[#Totals],[Répartition dépenses - 7 premiers mois]]/$D$6</totalsRow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G1:K11" totalsRowShown="0" headerRowDxfId="9" dataDxfId="7" headerRowBorderDxfId="8" tableBorderDxfId="6" totalsRowBorderDxfId="5">
  <autoFilter ref="G1:K11" xr:uid="{00000000-0009-0000-0100-000003000000}"/>
  <tableColumns count="5">
    <tableColumn id="1" xr3:uid="{00000000-0010-0000-0100-000001000000}" name="Activités" dataDxfId="4">
      <calculatedColumnFormula>'PTBA ALE'!U95</calculatedColumnFormula>
    </tableColumn>
    <tableColumn id="2" xr3:uid="{00000000-0010-0000-0100-000002000000}" name="Part Budget" dataDxfId="3">
      <calculatedColumnFormula>'PTBA ALE'!#REF!</calculatedColumnFormula>
    </tableColumn>
    <tableColumn id="3" xr3:uid="{00000000-0010-0000-0100-000003000000}" name="% Part Budget" dataDxfId="2" dataCellStyle="Pourcentage">
      <calculatedColumnFormula>'PTBA ALE'!W95</calculatedColumnFormula>
    </tableColumn>
    <tableColumn id="5" xr3:uid="{00000000-0010-0000-0100-000005000000}" name="Part Buget 7 mois" dataDxfId="1">
      <calculatedColumnFormula>'PTBA ALE'!Y95</calculatedColumnFormula>
    </tableColumn>
    <tableColumn id="6" xr3:uid="{00000000-0010-0000-0100-000006000000}" name="% Part Buget 7 mois" dataDxfId="0" dataCellStyle="Pourcentage">
      <calculatedColumnFormula>'PTBA ALE'!Z95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2"/>
  <sheetViews>
    <sheetView topLeftCell="B2" zoomScale="80" zoomScaleNormal="80" workbookViewId="0">
      <pane xSplit="7" ySplit="2" topLeftCell="I4" activePane="bottomRight" state="frozen"/>
      <selection activeCell="B2" sqref="B2"/>
      <selection pane="topRight" activeCell="I2" sqref="I2"/>
      <selection pane="bottomLeft" activeCell="B4" sqref="B4"/>
      <selection pane="bottomRight" activeCell="D135" sqref="D135"/>
    </sheetView>
  </sheetViews>
  <sheetFormatPr baseColWidth="10" defaultColWidth="7.36328125" defaultRowHeight="14.5" x14ac:dyDescent="0.35"/>
  <cols>
    <col min="1" max="1" width="4.36328125" style="42" hidden="1" customWidth="1"/>
    <col min="2" max="2" width="13.08984375" style="43" customWidth="1"/>
    <col min="3" max="3" width="0" style="42" hidden="1" customWidth="1"/>
    <col min="4" max="4" width="65" style="42" customWidth="1"/>
    <col min="5" max="8" width="7.36328125" style="42" hidden="1" customWidth="1"/>
    <col min="9" max="9" width="12.08984375" style="42" customWidth="1"/>
    <col min="10" max="10" width="13.36328125" style="91" customWidth="1"/>
    <col min="11" max="11" width="14.54296875" style="91" customWidth="1"/>
    <col min="12" max="12" width="9.54296875" style="91" hidden="1" customWidth="1"/>
    <col min="13" max="13" width="52.36328125" style="123" customWidth="1"/>
    <col min="14" max="15" width="11.36328125" style="91" customWidth="1"/>
    <col min="16" max="16" width="12.453125" style="91" customWidth="1"/>
    <col min="17" max="17" width="12.6328125" style="126" customWidth="1"/>
    <col min="18" max="18" width="10.36328125" style="37" customWidth="1"/>
    <col min="19" max="19" width="7.36328125" style="42"/>
    <col min="20" max="20" width="10.08984375" style="42" bestFit="1" customWidth="1"/>
    <col min="21" max="21" width="10" style="42" customWidth="1"/>
    <col min="22" max="22" width="12.6328125" style="42" customWidth="1"/>
    <col min="23" max="24" width="7.36328125" style="42"/>
    <col min="25" max="25" width="9.6328125" style="42" bestFit="1" customWidth="1"/>
    <col min="26" max="16384" width="7.36328125" style="42"/>
  </cols>
  <sheetData>
    <row r="1" spans="1:22" s="132" customFormat="1" ht="15.75" hidden="1" customHeight="1" x14ac:dyDescent="0.35">
      <c r="J1" s="133"/>
      <c r="K1" s="133"/>
      <c r="L1" s="133"/>
      <c r="M1" s="134"/>
      <c r="N1" s="133">
        <v>36</v>
      </c>
      <c r="O1" s="133"/>
      <c r="P1" s="133"/>
      <c r="Q1" s="135"/>
      <c r="R1" s="136"/>
    </row>
    <row r="2" spans="1:22" ht="68.25" customHeight="1" thickBot="1" x14ac:dyDescent="0.4">
      <c r="A2" s="276"/>
      <c r="B2" s="277"/>
      <c r="C2" s="277"/>
      <c r="D2" s="277"/>
      <c r="E2" s="261"/>
      <c r="F2" s="35" t="s">
        <v>0</v>
      </c>
      <c r="G2" s="34" t="s">
        <v>1</v>
      </c>
      <c r="H2" s="36" t="s">
        <v>2</v>
      </c>
      <c r="I2" s="262" t="s">
        <v>275</v>
      </c>
      <c r="J2" s="159" t="s">
        <v>271</v>
      </c>
      <c r="K2" s="109" t="s">
        <v>259</v>
      </c>
      <c r="L2" s="107" t="s">
        <v>123</v>
      </c>
      <c r="M2" s="280" t="s">
        <v>138</v>
      </c>
      <c r="N2" s="108" t="s">
        <v>260</v>
      </c>
      <c r="O2" s="108" t="s">
        <v>256</v>
      </c>
      <c r="P2" s="172" t="s">
        <v>257</v>
      </c>
      <c r="Q2" s="107" t="s">
        <v>136</v>
      </c>
      <c r="R2" s="28" t="s">
        <v>278</v>
      </c>
      <c r="T2" s="161"/>
      <c r="U2" s="161"/>
    </row>
    <row r="3" spans="1:22" ht="16.5" customHeight="1" x14ac:dyDescent="0.35">
      <c r="A3" s="278"/>
      <c r="B3" s="279"/>
      <c r="C3" s="279"/>
      <c r="D3" s="279"/>
      <c r="E3" s="266"/>
      <c r="F3" s="163"/>
      <c r="G3" s="164"/>
      <c r="H3" s="165"/>
      <c r="I3" s="166"/>
      <c r="J3" s="168"/>
      <c r="K3" s="169"/>
      <c r="L3" s="167"/>
      <c r="M3" s="281"/>
      <c r="N3" s="171">
        <v>1</v>
      </c>
      <c r="O3" s="171">
        <v>3</v>
      </c>
      <c r="P3" s="173">
        <v>3</v>
      </c>
      <c r="Q3" s="176">
        <f>N3+O3+P3</f>
        <v>7</v>
      </c>
      <c r="R3" s="170"/>
      <c r="T3" s="223"/>
      <c r="U3" s="223"/>
    </row>
    <row r="4" spans="1:22" ht="23.4" customHeight="1" x14ac:dyDescent="0.35">
      <c r="A4" s="32"/>
      <c r="B4" s="231"/>
      <c r="C4" s="2"/>
      <c r="D4" s="25" t="s">
        <v>281</v>
      </c>
      <c r="E4" s="52"/>
      <c r="F4" s="53"/>
      <c r="G4" s="52"/>
      <c r="H4" s="52"/>
      <c r="I4" s="52"/>
      <c r="J4" s="236"/>
      <c r="K4" s="236"/>
      <c r="L4" s="237"/>
      <c r="M4" s="238"/>
      <c r="N4" s="237"/>
      <c r="O4" s="237"/>
      <c r="P4" s="256"/>
      <c r="Q4" s="259"/>
      <c r="R4" s="260"/>
      <c r="T4" s="161"/>
      <c r="U4" s="161"/>
    </row>
    <row r="5" spans="1:22" s="43" customFormat="1" ht="23.4" customHeight="1" x14ac:dyDescent="0.35">
      <c r="A5" s="232"/>
      <c r="B5" s="229"/>
      <c r="C5" s="6"/>
      <c r="D5" s="7" t="s">
        <v>390</v>
      </c>
      <c r="E5" s="8"/>
      <c r="F5" s="9"/>
      <c r="G5" s="8"/>
      <c r="H5" s="10"/>
      <c r="I5" s="30">
        <v>2524909</v>
      </c>
      <c r="J5" s="192">
        <f>Q5</f>
        <v>490954.33333333331</v>
      </c>
      <c r="K5" s="193">
        <f t="shared" ref="K5" si="0">I5-J5</f>
        <v>2033954.6666666667</v>
      </c>
      <c r="L5" s="90"/>
      <c r="M5" s="119"/>
      <c r="N5" s="233"/>
      <c r="O5" s="233">
        <f>210409+(210409/3)</f>
        <v>280545.33333333331</v>
      </c>
      <c r="P5" s="257">
        <f>210409</f>
        <v>210409</v>
      </c>
      <c r="Q5" s="234">
        <f>SUM(N5:P5)</f>
        <v>490954.33333333331</v>
      </c>
      <c r="R5" s="45">
        <f t="shared" ref="R5" si="1">Q5/I5</f>
        <v>0.19444436743396823</v>
      </c>
      <c r="T5" s="235"/>
      <c r="U5" s="235"/>
    </row>
    <row r="6" spans="1:22" s="43" customFormat="1" ht="23.4" customHeight="1" x14ac:dyDescent="0.35">
      <c r="A6" s="232"/>
      <c r="B6" s="229"/>
      <c r="C6" s="239"/>
      <c r="D6" s="3" t="s">
        <v>391</v>
      </c>
      <c r="E6" s="228"/>
      <c r="F6" s="240"/>
      <c r="G6" s="228"/>
      <c r="H6" s="241"/>
      <c r="I6" s="242"/>
      <c r="J6" s="243"/>
      <c r="K6" s="244"/>
      <c r="L6" s="245"/>
      <c r="M6" s="270"/>
      <c r="N6" s="246"/>
      <c r="O6" s="246"/>
      <c r="P6" s="247"/>
      <c r="Q6" s="248">
        <f>Q5</f>
        <v>490954.33333333331</v>
      </c>
      <c r="R6" s="249">
        <f>R5</f>
        <v>0.19444436743396823</v>
      </c>
      <c r="T6" s="235"/>
      <c r="U6" s="235"/>
    </row>
    <row r="7" spans="1:22" ht="23.4" customHeight="1" x14ac:dyDescent="0.35">
      <c r="A7" s="32" t="s">
        <v>3</v>
      </c>
      <c r="B7" s="230"/>
      <c r="C7" s="33"/>
      <c r="D7" s="46" t="s">
        <v>4</v>
      </c>
      <c r="E7" s="47"/>
      <c r="F7" s="48"/>
      <c r="G7" s="47"/>
      <c r="H7" s="49"/>
      <c r="I7" s="50"/>
      <c r="J7" s="160"/>
      <c r="K7" s="110"/>
      <c r="L7" s="86"/>
      <c r="M7" s="111"/>
      <c r="N7" s="112"/>
      <c r="O7" s="112"/>
      <c r="P7" s="174"/>
      <c r="Q7" s="124"/>
      <c r="R7" s="51"/>
      <c r="T7" s="161"/>
      <c r="U7" s="161"/>
    </row>
    <row r="8" spans="1:22" ht="23.4" customHeight="1" x14ac:dyDescent="0.35">
      <c r="A8" s="4"/>
      <c r="B8" s="64" t="s">
        <v>5</v>
      </c>
      <c r="C8" s="6"/>
      <c r="D8" s="7" t="s">
        <v>6</v>
      </c>
      <c r="E8" s="8"/>
      <c r="F8" s="9"/>
      <c r="G8" s="8"/>
      <c r="H8" s="10"/>
      <c r="I8" s="30"/>
      <c r="J8" s="190"/>
      <c r="K8" s="191"/>
      <c r="L8" s="87"/>
      <c r="M8" s="267"/>
      <c r="N8" s="114"/>
      <c r="O8" s="114"/>
      <c r="P8" s="175"/>
      <c r="Q8" s="125"/>
      <c r="R8" s="38"/>
      <c r="T8" s="161"/>
      <c r="U8" s="161"/>
    </row>
    <row r="9" spans="1:22" ht="23.4" customHeight="1" x14ac:dyDescent="0.35">
      <c r="A9" s="4"/>
      <c r="B9" s="231" t="s">
        <v>282</v>
      </c>
      <c r="C9" s="11"/>
      <c r="D9" s="12" t="s">
        <v>7</v>
      </c>
      <c r="E9" s="8" t="s">
        <v>8</v>
      </c>
      <c r="F9" s="9">
        <v>1500</v>
      </c>
      <c r="G9" s="8">
        <v>4</v>
      </c>
      <c r="H9" s="10">
        <v>31</v>
      </c>
      <c r="I9" s="30">
        <f>F9*G9*H9</f>
        <v>186000</v>
      </c>
      <c r="J9" s="192">
        <f>Q9</f>
        <v>15000</v>
      </c>
      <c r="K9" s="193">
        <f t="shared" ref="K9:K15" si="2">I9-J9</f>
        <v>171000</v>
      </c>
      <c r="L9" s="87" t="e">
        <f>IF(#REF!="","",I9-#REF!)</f>
        <v>#REF!</v>
      </c>
      <c r="M9" s="282" t="s">
        <v>268</v>
      </c>
      <c r="N9" s="207">
        <v>0</v>
      </c>
      <c r="O9" s="207">
        <f t="shared" ref="O9:O14" si="3">F9</f>
        <v>1500</v>
      </c>
      <c r="P9" s="208">
        <f>F9*3+F9*3*2</f>
        <v>13500</v>
      </c>
      <c r="Q9" s="199">
        <f>SUM(N9:P9)</f>
        <v>15000</v>
      </c>
      <c r="R9" s="39">
        <f t="shared" ref="R9:R15" si="4">Q9/I9</f>
        <v>8.0645161290322578E-2</v>
      </c>
      <c r="T9" s="224"/>
      <c r="U9" s="224"/>
      <c r="V9" s="224"/>
    </row>
    <row r="10" spans="1:22" ht="23.4" customHeight="1" x14ac:dyDescent="0.35">
      <c r="A10" s="4"/>
      <c r="B10" s="231" t="s">
        <v>283</v>
      </c>
      <c r="C10" s="11"/>
      <c r="D10" s="12" t="s">
        <v>9</v>
      </c>
      <c r="E10" s="8" t="s">
        <v>8</v>
      </c>
      <c r="F10" s="9">
        <v>1000</v>
      </c>
      <c r="G10" s="8">
        <v>4</v>
      </c>
      <c r="H10" s="10">
        <v>31</v>
      </c>
      <c r="I10" s="30">
        <f t="shared" ref="I10:I14" si="5">F10*G10*H10</f>
        <v>124000</v>
      </c>
      <c r="J10" s="192">
        <f t="shared" ref="J10:J14" si="6">Q10</f>
        <v>10000</v>
      </c>
      <c r="K10" s="193">
        <f t="shared" si="2"/>
        <v>114000</v>
      </c>
      <c r="L10" s="87" t="e">
        <f>IF(#REF!="","",I10-#REF!)</f>
        <v>#REF!</v>
      </c>
      <c r="M10" s="282"/>
      <c r="N10" s="207">
        <v>0</v>
      </c>
      <c r="O10" s="207">
        <f t="shared" si="3"/>
        <v>1000</v>
      </c>
      <c r="P10" s="208">
        <f t="shared" ref="P10:P14" si="7">F10*3+F10*3*2</f>
        <v>9000</v>
      </c>
      <c r="Q10" s="199">
        <f t="shared" ref="Q10:Q14" si="8">SUM(N10:P10)</f>
        <v>10000</v>
      </c>
      <c r="R10" s="39">
        <f t="shared" si="4"/>
        <v>8.0645161290322578E-2</v>
      </c>
      <c r="T10" s="224"/>
      <c r="U10" s="224"/>
      <c r="V10" s="224"/>
    </row>
    <row r="11" spans="1:22" ht="23.4" customHeight="1" x14ac:dyDescent="0.35">
      <c r="A11" s="4"/>
      <c r="B11" s="231" t="s">
        <v>284</v>
      </c>
      <c r="C11" s="11"/>
      <c r="D11" s="12" t="s">
        <v>10</v>
      </c>
      <c r="E11" s="8" t="s">
        <v>8</v>
      </c>
      <c r="F11" s="9">
        <v>1000</v>
      </c>
      <c r="G11" s="8">
        <v>4</v>
      </c>
      <c r="H11" s="10">
        <v>31</v>
      </c>
      <c r="I11" s="30">
        <f t="shared" si="5"/>
        <v>124000</v>
      </c>
      <c r="J11" s="192">
        <f t="shared" si="6"/>
        <v>10000</v>
      </c>
      <c r="K11" s="193">
        <f t="shared" si="2"/>
        <v>114000</v>
      </c>
      <c r="L11" s="87" t="e">
        <f>IF(#REF!="","",I11-#REF!)</f>
        <v>#REF!</v>
      </c>
      <c r="M11" s="282"/>
      <c r="N11" s="207">
        <v>0</v>
      </c>
      <c r="O11" s="207">
        <f t="shared" si="3"/>
        <v>1000</v>
      </c>
      <c r="P11" s="208">
        <f t="shared" si="7"/>
        <v>9000</v>
      </c>
      <c r="Q11" s="199">
        <f t="shared" si="8"/>
        <v>10000</v>
      </c>
      <c r="R11" s="39">
        <f t="shared" si="4"/>
        <v>8.0645161290322578E-2</v>
      </c>
      <c r="T11" s="224"/>
      <c r="U11" s="224"/>
      <c r="V11" s="224"/>
    </row>
    <row r="12" spans="1:22" ht="23.4" customHeight="1" x14ac:dyDescent="0.35">
      <c r="A12" s="4"/>
      <c r="B12" s="231" t="s">
        <v>285</v>
      </c>
      <c r="C12" s="11"/>
      <c r="D12" s="12" t="s">
        <v>11</v>
      </c>
      <c r="E12" s="8" t="s">
        <v>8</v>
      </c>
      <c r="F12" s="9">
        <v>1000</v>
      </c>
      <c r="G12" s="8">
        <v>4</v>
      </c>
      <c r="H12" s="10">
        <v>31</v>
      </c>
      <c r="I12" s="30">
        <f t="shared" si="5"/>
        <v>124000</v>
      </c>
      <c r="J12" s="192">
        <f t="shared" si="6"/>
        <v>10000</v>
      </c>
      <c r="K12" s="193">
        <f t="shared" si="2"/>
        <v>114000</v>
      </c>
      <c r="L12" s="87" t="e">
        <f>IF(#REF!="","",I12-#REF!)</f>
        <v>#REF!</v>
      </c>
      <c r="M12" s="282"/>
      <c r="N12" s="207">
        <v>0</v>
      </c>
      <c r="O12" s="207">
        <f t="shared" si="3"/>
        <v>1000</v>
      </c>
      <c r="P12" s="208">
        <f t="shared" si="7"/>
        <v>9000</v>
      </c>
      <c r="Q12" s="199">
        <f t="shared" si="8"/>
        <v>10000</v>
      </c>
      <c r="R12" s="39">
        <f t="shared" si="4"/>
        <v>8.0645161290322578E-2</v>
      </c>
      <c r="T12" s="224"/>
      <c r="U12" s="224"/>
      <c r="V12" s="224"/>
    </row>
    <row r="13" spans="1:22" ht="23.4" customHeight="1" x14ac:dyDescent="0.35">
      <c r="A13" s="4"/>
      <c r="B13" s="231" t="s">
        <v>286</v>
      </c>
      <c r="C13" s="11"/>
      <c r="D13" s="12" t="s">
        <v>12</v>
      </c>
      <c r="E13" s="8" t="s">
        <v>8</v>
      </c>
      <c r="F13" s="9">
        <v>1000</v>
      </c>
      <c r="G13" s="8">
        <v>4</v>
      </c>
      <c r="H13" s="10">
        <v>31</v>
      </c>
      <c r="I13" s="30">
        <f t="shared" si="5"/>
        <v>124000</v>
      </c>
      <c r="J13" s="192">
        <f t="shared" si="6"/>
        <v>10000</v>
      </c>
      <c r="K13" s="193">
        <f t="shared" si="2"/>
        <v>114000</v>
      </c>
      <c r="L13" s="87" t="e">
        <f>IF(#REF!="","",I13-#REF!)</f>
        <v>#REF!</v>
      </c>
      <c r="M13" s="282"/>
      <c r="N13" s="207">
        <v>0</v>
      </c>
      <c r="O13" s="207">
        <f t="shared" si="3"/>
        <v>1000</v>
      </c>
      <c r="P13" s="208">
        <f t="shared" si="7"/>
        <v>9000</v>
      </c>
      <c r="Q13" s="199">
        <f t="shared" si="8"/>
        <v>10000</v>
      </c>
      <c r="R13" s="39">
        <f t="shared" si="4"/>
        <v>8.0645161290322578E-2</v>
      </c>
      <c r="T13" s="224"/>
      <c r="U13" s="224"/>
      <c r="V13" s="224"/>
    </row>
    <row r="14" spans="1:22" ht="23.4" customHeight="1" x14ac:dyDescent="0.35">
      <c r="A14" s="4"/>
      <c r="B14" s="231" t="s">
        <v>287</v>
      </c>
      <c r="C14" s="11"/>
      <c r="D14" s="12" t="s">
        <v>13</v>
      </c>
      <c r="E14" s="8" t="s">
        <v>8</v>
      </c>
      <c r="F14" s="9">
        <v>1000</v>
      </c>
      <c r="G14" s="8">
        <v>4</v>
      </c>
      <c r="H14" s="10">
        <v>31</v>
      </c>
      <c r="I14" s="30">
        <f t="shared" si="5"/>
        <v>124000</v>
      </c>
      <c r="J14" s="192">
        <f t="shared" si="6"/>
        <v>10000</v>
      </c>
      <c r="K14" s="193">
        <f t="shared" si="2"/>
        <v>114000</v>
      </c>
      <c r="L14" s="87" t="e">
        <f>IF(#REF!="","",I14-#REF!)</f>
        <v>#REF!</v>
      </c>
      <c r="M14" s="282"/>
      <c r="N14" s="207">
        <v>0</v>
      </c>
      <c r="O14" s="207">
        <f t="shared" si="3"/>
        <v>1000</v>
      </c>
      <c r="P14" s="208">
        <f t="shared" si="7"/>
        <v>9000</v>
      </c>
      <c r="Q14" s="199">
        <f t="shared" si="8"/>
        <v>10000</v>
      </c>
      <c r="R14" s="39">
        <f t="shared" si="4"/>
        <v>8.0645161290322578E-2</v>
      </c>
      <c r="T14" s="224"/>
      <c r="U14" s="224"/>
      <c r="V14" s="224"/>
    </row>
    <row r="15" spans="1:22" ht="23.4" customHeight="1" x14ac:dyDescent="0.35">
      <c r="A15" s="14"/>
      <c r="B15" s="231"/>
      <c r="C15" s="3"/>
      <c r="D15" s="25" t="s">
        <v>306</v>
      </c>
      <c r="E15" s="52"/>
      <c r="F15" s="53"/>
      <c r="G15" s="52"/>
      <c r="H15" s="54">
        <f>SUM(H9:H14)</f>
        <v>186</v>
      </c>
      <c r="I15" s="27">
        <f>SUM(I9:I14)</f>
        <v>806000</v>
      </c>
      <c r="J15" s="177">
        <f>Q15</f>
        <v>65000</v>
      </c>
      <c r="K15" s="178">
        <f t="shared" si="2"/>
        <v>741000</v>
      </c>
      <c r="L15" s="88" t="e">
        <f>IF(#REF!="","",I15-#REF!)</f>
        <v>#REF!</v>
      </c>
      <c r="M15" s="115"/>
      <c r="N15" s="209"/>
      <c r="O15" s="209"/>
      <c r="P15" s="210"/>
      <c r="Q15" s="200">
        <f>Q14+Q13+Q12+Q11+Q10+Q9</f>
        <v>65000</v>
      </c>
      <c r="R15" s="55">
        <f t="shared" si="4"/>
        <v>8.0645161290322578E-2</v>
      </c>
      <c r="T15" s="224"/>
      <c r="U15" s="224"/>
      <c r="V15" s="224"/>
    </row>
    <row r="16" spans="1:22" ht="23.4" customHeight="1" x14ac:dyDescent="0.35">
      <c r="A16" s="4"/>
      <c r="B16" s="64" t="s">
        <v>14</v>
      </c>
      <c r="C16" s="6"/>
      <c r="D16" s="7" t="s">
        <v>15</v>
      </c>
      <c r="E16" s="8"/>
      <c r="F16" s="9"/>
      <c r="G16" s="8"/>
      <c r="H16" s="10"/>
      <c r="I16" s="30"/>
      <c r="J16" s="190"/>
      <c r="K16" s="191"/>
      <c r="L16" s="87" t="e">
        <f>IF(#REF!="","",I16-#REF!)</f>
        <v>#REF!</v>
      </c>
      <c r="M16" s="267"/>
      <c r="N16" s="207"/>
      <c r="O16" s="207"/>
      <c r="P16" s="208"/>
      <c r="Q16" s="199"/>
      <c r="R16" s="39"/>
      <c r="T16" s="224"/>
      <c r="U16" s="224"/>
      <c r="V16" s="224"/>
    </row>
    <row r="17" spans="1:22" ht="23.4" customHeight="1" x14ac:dyDescent="0.35">
      <c r="A17" s="4">
        <v>8</v>
      </c>
      <c r="B17" s="231" t="s">
        <v>288</v>
      </c>
      <c r="C17" s="11"/>
      <c r="D17" s="13" t="s">
        <v>16</v>
      </c>
      <c r="E17" s="8" t="s">
        <v>8</v>
      </c>
      <c r="F17" s="9">
        <v>500</v>
      </c>
      <c r="G17" s="8">
        <v>2</v>
      </c>
      <c r="H17" s="10">
        <v>31</v>
      </c>
      <c r="I17" s="30">
        <f>F17*G17*H17</f>
        <v>31000</v>
      </c>
      <c r="J17" s="192">
        <f>Q17</f>
        <v>4000</v>
      </c>
      <c r="K17" s="193">
        <f>I17-J17</f>
        <v>27000</v>
      </c>
      <c r="L17" s="87" t="e">
        <f>IF(#REF!="","",I17-#REF!)</f>
        <v>#REF!</v>
      </c>
      <c r="M17" s="267" t="s">
        <v>276</v>
      </c>
      <c r="N17" s="207">
        <v>0</v>
      </c>
      <c r="O17" s="215">
        <f>F17*G17</f>
        <v>1000</v>
      </c>
      <c r="P17" s="208">
        <f>3*F17*G17</f>
        <v>3000</v>
      </c>
      <c r="Q17" s="199">
        <f>SUM(N17:P17)</f>
        <v>4000</v>
      </c>
      <c r="R17" s="39">
        <f>Q17/I17</f>
        <v>0.12903225806451613</v>
      </c>
      <c r="T17" s="224"/>
      <c r="U17" s="224"/>
      <c r="V17" s="224"/>
    </row>
    <row r="18" spans="1:22" ht="27" hidden="1" customHeight="1" x14ac:dyDescent="0.35">
      <c r="A18" s="4"/>
      <c r="B18" s="231" t="s">
        <v>289</v>
      </c>
      <c r="C18" s="11"/>
      <c r="D18" s="13" t="s">
        <v>17</v>
      </c>
      <c r="E18" s="8" t="s">
        <v>8</v>
      </c>
      <c r="F18" s="9">
        <v>500</v>
      </c>
      <c r="G18" s="8">
        <v>4</v>
      </c>
      <c r="H18" s="10">
        <v>31</v>
      </c>
      <c r="I18" s="30">
        <f>F18*G18*H18</f>
        <v>62000</v>
      </c>
      <c r="J18" s="192">
        <f t="shared" ref="J18" si="9">Q18</f>
        <v>0</v>
      </c>
      <c r="K18" s="193">
        <f>I18-J18</f>
        <v>62000</v>
      </c>
      <c r="L18" s="87" t="e">
        <f>IF(#REF!="","",I18-#REF!)</f>
        <v>#REF!</v>
      </c>
      <c r="M18" s="267"/>
      <c r="N18" s="207">
        <v>0</v>
      </c>
      <c r="O18" s="207">
        <v>0</v>
      </c>
      <c r="P18" s="208">
        <v>0</v>
      </c>
      <c r="Q18" s="199">
        <f>SUM(N18:P18)</f>
        <v>0</v>
      </c>
      <c r="R18" s="39">
        <f>Q18/I18</f>
        <v>0</v>
      </c>
      <c r="T18" s="224"/>
      <c r="U18" s="224"/>
      <c r="V18" s="224"/>
    </row>
    <row r="19" spans="1:22" ht="23.4" customHeight="1" x14ac:dyDescent="0.35">
      <c r="A19" s="14"/>
      <c r="B19" s="231"/>
      <c r="C19" s="2"/>
      <c r="D19" s="25" t="s">
        <v>307</v>
      </c>
      <c r="E19" s="52"/>
      <c r="F19" s="53"/>
      <c r="G19" s="52">
        <f>SUM(G17:G18)</f>
        <v>6</v>
      </c>
      <c r="H19" s="54">
        <f>SUM(H17:H18)</f>
        <v>62</v>
      </c>
      <c r="I19" s="27">
        <f>SUM(I17:I18)</f>
        <v>93000</v>
      </c>
      <c r="J19" s="177">
        <f>Q19</f>
        <v>4000</v>
      </c>
      <c r="K19" s="178">
        <f>I19-J19</f>
        <v>89000</v>
      </c>
      <c r="L19" s="88" t="e">
        <f>IF(#REF!="","",I19-#REF!)</f>
        <v>#REF!</v>
      </c>
      <c r="M19" s="115"/>
      <c r="N19" s="209"/>
      <c r="O19" s="209"/>
      <c r="P19" s="210"/>
      <c r="Q19" s="200">
        <f>Q17+Q18</f>
        <v>4000</v>
      </c>
      <c r="R19" s="55">
        <f>Q19/I19</f>
        <v>4.3010752688172046E-2</v>
      </c>
      <c r="T19" s="224"/>
      <c r="U19" s="224"/>
      <c r="V19" s="224"/>
    </row>
    <row r="20" spans="1:22" ht="23.4" customHeight="1" x14ac:dyDescent="0.35">
      <c r="A20" s="4"/>
      <c r="B20" s="64" t="s">
        <v>18</v>
      </c>
      <c r="C20" s="6"/>
      <c r="D20" s="7" t="s">
        <v>19</v>
      </c>
      <c r="E20" s="8"/>
      <c r="F20" s="9"/>
      <c r="G20" s="8"/>
      <c r="H20" s="10"/>
      <c r="I20" s="30"/>
      <c r="J20" s="194"/>
      <c r="K20" s="195"/>
      <c r="L20" s="87" t="e">
        <f>IF(#REF!="","",I20-#REF!)</f>
        <v>#REF!</v>
      </c>
      <c r="M20" s="267"/>
      <c r="N20" s="207"/>
      <c r="O20" s="207"/>
      <c r="P20" s="208"/>
      <c r="Q20" s="199"/>
      <c r="R20" s="39"/>
      <c r="T20" s="224"/>
      <c r="U20" s="224"/>
      <c r="V20" s="224"/>
    </row>
    <row r="21" spans="1:22" ht="23.4" customHeight="1" x14ac:dyDescent="0.35">
      <c r="A21" s="4"/>
      <c r="B21" s="231" t="s">
        <v>290</v>
      </c>
      <c r="C21" s="11"/>
      <c r="D21" s="13" t="s">
        <v>20</v>
      </c>
      <c r="E21" s="8" t="s">
        <v>8</v>
      </c>
      <c r="F21" s="9">
        <v>100</v>
      </c>
      <c r="G21" s="8">
        <v>24</v>
      </c>
      <c r="H21" s="10">
        <v>31</v>
      </c>
      <c r="I21" s="30">
        <f>F21*G21*H21</f>
        <v>74400</v>
      </c>
      <c r="J21" s="192">
        <f t="shared" ref="J21:J24" si="10">Q21</f>
        <v>6000</v>
      </c>
      <c r="K21" s="193">
        <f>I21-J21</f>
        <v>68400</v>
      </c>
      <c r="L21" s="87" t="e">
        <f>IF(#REF!="","",I21-#REF!)</f>
        <v>#REF!</v>
      </c>
      <c r="M21" s="282" t="s">
        <v>269</v>
      </c>
      <c r="N21" s="207">
        <v>0</v>
      </c>
      <c r="O21" s="207">
        <f>F21*G21/4</f>
        <v>600</v>
      </c>
      <c r="P21" s="208">
        <f>F21*G21/4*3+F21*G21/4*3*2</f>
        <v>5400</v>
      </c>
      <c r="Q21" s="199">
        <f>SUM(N21:P21)</f>
        <v>6000</v>
      </c>
      <c r="R21" s="39">
        <f>Q21/I21</f>
        <v>8.0645161290322578E-2</v>
      </c>
      <c r="T21" s="224"/>
      <c r="U21" s="224"/>
      <c r="V21" s="224"/>
    </row>
    <row r="22" spans="1:22" ht="23.4" customHeight="1" x14ac:dyDescent="0.35">
      <c r="A22" s="4"/>
      <c r="B22" s="231" t="s">
        <v>291</v>
      </c>
      <c r="C22" s="11"/>
      <c r="D22" s="13" t="s">
        <v>292</v>
      </c>
      <c r="E22" s="8" t="s">
        <v>21</v>
      </c>
      <c r="F22" s="9">
        <v>20</v>
      </c>
      <c r="G22" s="8">
        <v>10</v>
      </c>
      <c r="H22" s="10">
        <v>558</v>
      </c>
      <c r="I22" s="30">
        <f>F22*G22*H22</f>
        <v>111600</v>
      </c>
      <c r="J22" s="192">
        <f t="shared" si="10"/>
        <v>14400</v>
      </c>
      <c r="K22" s="193">
        <f>I22-J22</f>
        <v>97200</v>
      </c>
      <c r="L22" s="87" t="e">
        <f>IF(#REF!="","",I22-#REF!)</f>
        <v>#REF!</v>
      </c>
      <c r="M22" s="282"/>
      <c r="N22" s="207">
        <v>0</v>
      </c>
      <c r="O22" s="215">
        <f>F22*G22*H22/31</f>
        <v>3600</v>
      </c>
      <c r="P22" s="208">
        <f>F22*G22*H22*3/31</f>
        <v>10800</v>
      </c>
      <c r="Q22" s="199">
        <f>SUM(N22:P22)</f>
        <v>14400</v>
      </c>
      <c r="R22" s="39">
        <f>Q22/I22</f>
        <v>0.12903225806451613</v>
      </c>
      <c r="T22" s="224"/>
      <c r="U22" s="224"/>
      <c r="V22" s="224"/>
    </row>
    <row r="23" spans="1:22" ht="23.4" customHeight="1" x14ac:dyDescent="0.35">
      <c r="A23" s="14"/>
      <c r="B23" s="231"/>
      <c r="C23" s="2"/>
      <c r="D23" s="25" t="s">
        <v>308</v>
      </c>
      <c r="E23" s="52"/>
      <c r="F23" s="53"/>
      <c r="G23" s="52"/>
      <c r="H23" s="54"/>
      <c r="I23" s="27">
        <f>SUM(I21:I22)</f>
        <v>186000</v>
      </c>
      <c r="J23" s="177">
        <f t="shared" si="10"/>
        <v>20400</v>
      </c>
      <c r="K23" s="178">
        <f>I23-J23</f>
        <v>165600</v>
      </c>
      <c r="L23" s="88" t="e">
        <f>IF(#REF!="","",I23-#REF!)</f>
        <v>#REF!</v>
      </c>
      <c r="M23" s="115"/>
      <c r="N23" s="209"/>
      <c r="O23" s="209"/>
      <c r="P23" s="210"/>
      <c r="Q23" s="200">
        <f>Q22+Q21</f>
        <v>20400</v>
      </c>
      <c r="R23" s="55">
        <f>Q23/I23</f>
        <v>0.10967741935483871</v>
      </c>
      <c r="T23" s="224"/>
      <c r="U23" s="224"/>
      <c r="V23" s="224"/>
    </row>
    <row r="24" spans="1:22" ht="23.4" customHeight="1" x14ac:dyDescent="0.35">
      <c r="A24" s="15"/>
      <c r="B24" s="64"/>
      <c r="C24" s="16"/>
      <c r="D24" s="63" t="s">
        <v>270</v>
      </c>
      <c r="E24" s="64"/>
      <c r="F24" s="65"/>
      <c r="G24" s="64"/>
      <c r="H24" s="66"/>
      <c r="I24" s="67">
        <f>I15+I19+I23</f>
        <v>1085000</v>
      </c>
      <c r="J24" s="179">
        <f t="shared" si="10"/>
        <v>89400</v>
      </c>
      <c r="K24" s="180">
        <f>I24-J24</f>
        <v>995600</v>
      </c>
      <c r="L24" s="116" t="e">
        <f>IF(#REF!="","",I24-#REF!)</f>
        <v>#REF!</v>
      </c>
      <c r="M24" s="117"/>
      <c r="N24" s="211"/>
      <c r="O24" s="211"/>
      <c r="P24" s="212"/>
      <c r="Q24" s="201">
        <f>Q15+Q19+Q23</f>
        <v>89400</v>
      </c>
      <c r="R24" s="68">
        <f>Q24/I24</f>
        <v>8.2396313364055299E-2</v>
      </c>
      <c r="T24" s="224"/>
      <c r="U24" s="224"/>
      <c r="V24" s="224"/>
    </row>
    <row r="25" spans="1:22" ht="23.4" hidden="1" customHeight="1" x14ac:dyDescent="0.35">
      <c r="A25" s="1" t="s">
        <v>258</v>
      </c>
      <c r="B25" s="64"/>
      <c r="C25" s="2"/>
      <c r="D25" s="25" t="s">
        <v>22</v>
      </c>
      <c r="E25" s="52"/>
      <c r="F25" s="53"/>
      <c r="G25" s="52"/>
      <c r="H25" s="54"/>
      <c r="I25" s="181"/>
      <c r="J25" s="182"/>
      <c r="K25" s="183"/>
      <c r="L25" s="88" t="e">
        <f>IF(#REF!="","",I25-#REF!)</f>
        <v>#REF!</v>
      </c>
      <c r="M25" s="115"/>
      <c r="N25" s="209"/>
      <c r="O25" s="209"/>
      <c r="P25" s="210"/>
      <c r="Q25" s="202"/>
      <c r="R25" s="69"/>
      <c r="T25" s="224"/>
      <c r="U25" s="224"/>
      <c r="V25" s="224"/>
    </row>
    <row r="26" spans="1:22" ht="23.4" hidden="1" customHeight="1" x14ac:dyDescent="0.35">
      <c r="A26" s="15"/>
      <c r="B26" s="64"/>
      <c r="C26" s="16"/>
      <c r="D26" s="57" t="s">
        <v>23</v>
      </c>
      <c r="E26" s="58"/>
      <c r="F26" s="59"/>
      <c r="G26" s="58"/>
      <c r="H26" s="60"/>
      <c r="I26" s="61">
        <v>0</v>
      </c>
      <c r="J26" s="184">
        <f>Q26</f>
        <v>0</v>
      </c>
      <c r="K26" s="185">
        <f>I26-J26</f>
        <v>0</v>
      </c>
      <c r="L26" s="89" t="e">
        <f>IF(#REF!="","",I26-#REF!)</f>
        <v>#REF!</v>
      </c>
      <c r="M26" s="118"/>
      <c r="N26" s="213"/>
      <c r="O26" s="213"/>
      <c r="P26" s="214"/>
      <c r="Q26" s="203"/>
      <c r="R26" s="70"/>
      <c r="T26" s="224"/>
      <c r="U26" s="224"/>
      <c r="V26" s="224"/>
    </row>
    <row r="27" spans="1:22" ht="23.4" customHeight="1" x14ac:dyDescent="0.35">
      <c r="A27" s="1" t="s">
        <v>24</v>
      </c>
      <c r="B27" s="64" t="s">
        <v>82</v>
      </c>
      <c r="C27" s="2"/>
      <c r="D27" s="25" t="s">
        <v>25</v>
      </c>
      <c r="E27" s="52"/>
      <c r="F27" s="53"/>
      <c r="G27" s="52"/>
      <c r="H27" s="54"/>
      <c r="I27" s="181"/>
      <c r="J27" s="182"/>
      <c r="K27" s="183"/>
      <c r="L27" s="88" t="e">
        <f>IF(#REF!="","",I27-#REF!)</f>
        <v>#REF!</v>
      </c>
      <c r="M27" s="115"/>
      <c r="N27" s="209"/>
      <c r="O27" s="209"/>
      <c r="P27" s="210"/>
      <c r="Q27" s="202"/>
      <c r="R27" s="69"/>
      <c r="T27" s="224"/>
      <c r="U27" s="224"/>
      <c r="V27" s="224"/>
    </row>
    <row r="28" spans="1:22" ht="27" customHeight="1" x14ac:dyDescent="0.35">
      <c r="A28" s="4"/>
      <c r="B28" s="231" t="s">
        <v>309</v>
      </c>
      <c r="C28" s="11" t="s">
        <v>26</v>
      </c>
      <c r="D28" s="13" t="s">
        <v>272</v>
      </c>
      <c r="E28" s="8" t="s">
        <v>27</v>
      </c>
      <c r="F28" s="17">
        <v>65000</v>
      </c>
      <c r="G28" s="8">
        <v>2</v>
      </c>
      <c r="H28" s="10">
        <v>1</v>
      </c>
      <c r="I28" s="30">
        <f t="shared" ref="I28:I35" si="11">F28*G28*H28</f>
        <v>130000</v>
      </c>
      <c r="J28" s="192">
        <f t="shared" ref="J28:J38" si="12">Q28</f>
        <v>110000</v>
      </c>
      <c r="K28" s="193">
        <f t="shared" ref="K28:K38" si="13">I28-J28</f>
        <v>20000</v>
      </c>
      <c r="L28" s="87" t="e">
        <f>IF(#REF!="","",I28-#REF!)</f>
        <v>#REF!</v>
      </c>
      <c r="M28" s="267"/>
      <c r="O28" s="207">
        <v>110000</v>
      </c>
      <c r="P28" s="208">
        <v>0</v>
      </c>
      <c r="Q28" s="199">
        <f>SUM(O28:P28)</f>
        <v>110000</v>
      </c>
      <c r="R28" s="40">
        <f t="shared" ref="R28:R38" si="14">Q28/I28</f>
        <v>0.84615384615384615</v>
      </c>
      <c r="T28" s="224"/>
      <c r="U28" s="224"/>
      <c r="V28" s="224"/>
    </row>
    <row r="29" spans="1:22" ht="23.4" customHeight="1" x14ac:dyDescent="0.35">
      <c r="A29" s="4"/>
      <c r="B29" s="231" t="s">
        <v>310</v>
      </c>
      <c r="C29" s="11" t="s">
        <v>26</v>
      </c>
      <c r="D29" s="13" t="s">
        <v>130</v>
      </c>
      <c r="E29" s="8" t="s">
        <v>131</v>
      </c>
      <c r="F29" s="17">
        <v>4000</v>
      </c>
      <c r="G29" s="8">
        <v>50</v>
      </c>
      <c r="H29" s="10">
        <v>1</v>
      </c>
      <c r="I29" s="30">
        <f t="shared" si="11"/>
        <v>200000</v>
      </c>
      <c r="J29" s="192">
        <f t="shared" si="12"/>
        <v>200000</v>
      </c>
      <c r="K29" s="193">
        <f t="shared" si="13"/>
        <v>0</v>
      </c>
      <c r="L29" s="87" t="e">
        <f>IF(#REF!="","",I29-#REF!)</f>
        <v>#REF!</v>
      </c>
      <c r="M29" s="267" t="s">
        <v>280</v>
      </c>
      <c r="N29" s="207"/>
      <c r="O29" s="207">
        <f>F29*35</f>
        <v>140000</v>
      </c>
      <c r="P29" s="208">
        <f>F29*15</f>
        <v>60000</v>
      </c>
      <c r="Q29" s="199">
        <f t="shared" ref="Q29:Q36" si="15">SUM(N29:P29)</f>
        <v>200000</v>
      </c>
      <c r="R29" s="39">
        <f t="shared" si="14"/>
        <v>1</v>
      </c>
      <c r="T29" s="224"/>
      <c r="U29" s="224"/>
      <c r="V29" s="224"/>
    </row>
    <row r="30" spans="1:22" ht="27" customHeight="1" x14ac:dyDescent="0.35">
      <c r="A30" s="4"/>
      <c r="B30" s="231" t="s">
        <v>311</v>
      </c>
      <c r="C30" s="11" t="s">
        <v>26</v>
      </c>
      <c r="D30" s="13" t="s">
        <v>28</v>
      </c>
      <c r="E30" s="8" t="s">
        <v>27</v>
      </c>
      <c r="F30" s="17">
        <v>130</v>
      </c>
      <c r="G30" s="8">
        <v>4</v>
      </c>
      <c r="H30" s="10">
        <v>20</v>
      </c>
      <c r="I30" s="30">
        <f t="shared" si="11"/>
        <v>10400</v>
      </c>
      <c r="J30" s="192">
        <f t="shared" si="12"/>
        <v>10400</v>
      </c>
      <c r="K30" s="193">
        <f t="shared" si="13"/>
        <v>0</v>
      </c>
      <c r="L30" s="87" t="e">
        <f>IF(#REF!="","",I30-#REF!)</f>
        <v>#REF!</v>
      </c>
      <c r="M30" s="267" t="s">
        <v>137</v>
      </c>
      <c r="N30" s="207"/>
      <c r="O30" s="207">
        <v>2600</v>
      </c>
      <c r="P30" s="208">
        <v>7800</v>
      </c>
      <c r="Q30" s="199">
        <f t="shared" si="15"/>
        <v>10400</v>
      </c>
      <c r="R30" s="39">
        <f t="shared" si="14"/>
        <v>1</v>
      </c>
      <c r="T30" s="224"/>
      <c r="U30" s="224"/>
      <c r="V30" s="224"/>
    </row>
    <row r="31" spans="1:22" ht="23.4" customHeight="1" x14ac:dyDescent="0.35">
      <c r="A31" s="4"/>
      <c r="B31" s="231" t="s">
        <v>312</v>
      </c>
      <c r="C31" s="11" t="s">
        <v>26</v>
      </c>
      <c r="D31" s="13" t="s">
        <v>29</v>
      </c>
      <c r="E31" s="8" t="s">
        <v>27</v>
      </c>
      <c r="F31" s="17">
        <v>25000</v>
      </c>
      <c r="G31" s="8">
        <v>2</v>
      </c>
      <c r="H31" s="10">
        <v>1</v>
      </c>
      <c r="I31" s="30">
        <f>F31*G31*H31+20000</f>
        <v>70000</v>
      </c>
      <c r="J31" s="192">
        <f t="shared" si="12"/>
        <v>70000</v>
      </c>
      <c r="K31" s="193">
        <f t="shared" si="13"/>
        <v>0</v>
      </c>
      <c r="L31" s="87" t="e">
        <f>IF(#REF!="","",I31-#REF!)</f>
        <v>#REF!</v>
      </c>
      <c r="M31" s="267"/>
      <c r="O31" s="207">
        <v>70000</v>
      </c>
      <c r="P31" s="208">
        <v>0</v>
      </c>
      <c r="Q31" s="199">
        <f t="shared" si="15"/>
        <v>70000</v>
      </c>
      <c r="R31" s="39">
        <f t="shared" si="14"/>
        <v>1</v>
      </c>
      <c r="T31" s="224"/>
      <c r="U31" s="224"/>
      <c r="V31" s="224"/>
    </row>
    <row r="32" spans="1:22" ht="23.4" hidden="1" customHeight="1" x14ac:dyDescent="0.35">
      <c r="A32" s="4"/>
      <c r="B32" s="231" t="s">
        <v>313</v>
      </c>
      <c r="C32" s="11" t="s">
        <v>26</v>
      </c>
      <c r="D32" s="13" t="s">
        <v>30</v>
      </c>
      <c r="E32" s="8" t="s">
        <v>27</v>
      </c>
      <c r="F32" s="17">
        <v>75000</v>
      </c>
      <c r="G32" s="8">
        <v>4</v>
      </c>
      <c r="H32" s="10">
        <v>1</v>
      </c>
      <c r="I32" s="30">
        <f>F32*G32*H32-49500-20000</f>
        <v>230500</v>
      </c>
      <c r="J32" s="192">
        <f t="shared" si="12"/>
        <v>0</v>
      </c>
      <c r="K32" s="193">
        <f t="shared" si="13"/>
        <v>230500</v>
      </c>
      <c r="L32" s="87" t="e">
        <f>IF(#REF!="","",I32-#REF!)</f>
        <v>#REF!</v>
      </c>
      <c r="M32" s="267" t="s">
        <v>398</v>
      </c>
      <c r="N32" s="207"/>
      <c r="O32" s="207"/>
      <c r="P32" s="208"/>
      <c r="Q32" s="199">
        <f t="shared" si="15"/>
        <v>0</v>
      </c>
      <c r="R32" s="39">
        <f t="shared" si="14"/>
        <v>0</v>
      </c>
      <c r="T32" s="224"/>
      <c r="U32" s="224"/>
      <c r="V32" s="224"/>
    </row>
    <row r="33" spans="1:28" ht="23.4" customHeight="1" x14ac:dyDescent="0.35">
      <c r="A33" s="4"/>
      <c r="B33" s="231" t="s">
        <v>314</v>
      </c>
      <c r="C33" s="11" t="s">
        <v>26</v>
      </c>
      <c r="D33" s="13" t="s">
        <v>133</v>
      </c>
      <c r="E33" s="8" t="s">
        <v>27</v>
      </c>
      <c r="F33" s="17">
        <v>2000</v>
      </c>
      <c r="G33" s="8">
        <v>20</v>
      </c>
      <c r="H33" s="10">
        <v>1</v>
      </c>
      <c r="I33" s="30">
        <f t="shared" si="11"/>
        <v>40000</v>
      </c>
      <c r="J33" s="192">
        <f t="shared" si="12"/>
        <v>40000</v>
      </c>
      <c r="K33" s="193">
        <f t="shared" si="13"/>
        <v>0</v>
      </c>
      <c r="L33" s="87" t="e">
        <f>IF(#REF!="","",I33-#REF!)</f>
        <v>#REF!</v>
      </c>
      <c r="M33" s="267"/>
      <c r="N33" s="227"/>
      <c r="O33" s="215">
        <v>30000</v>
      </c>
      <c r="P33" s="251">
        <v>10000</v>
      </c>
      <c r="Q33" s="199">
        <f>SUM(O33:P33)</f>
        <v>40000</v>
      </c>
      <c r="R33" s="39">
        <f t="shared" si="14"/>
        <v>1</v>
      </c>
      <c r="T33" s="224"/>
      <c r="U33" s="224"/>
      <c r="V33" s="224"/>
    </row>
    <row r="34" spans="1:28" ht="23.4" customHeight="1" x14ac:dyDescent="0.35">
      <c r="A34" s="4"/>
      <c r="B34" s="231" t="s">
        <v>315</v>
      </c>
      <c r="C34" s="11" t="s">
        <v>26</v>
      </c>
      <c r="D34" s="13" t="s">
        <v>31</v>
      </c>
      <c r="E34" s="8" t="s">
        <v>32</v>
      </c>
      <c r="F34" s="17">
        <v>20000</v>
      </c>
      <c r="G34" s="8">
        <v>1</v>
      </c>
      <c r="H34" s="10">
        <v>1</v>
      </c>
      <c r="I34" s="30">
        <f t="shared" si="11"/>
        <v>20000</v>
      </c>
      <c r="J34" s="192">
        <f t="shared" si="12"/>
        <v>25000</v>
      </c>
      <c r="K34" s="193">
        <f t="shared" si="13"/>
        <v>-5000</v>
      </c>
      <c r="L34" s="87" t="e">
        <f>IF(#REF!="","",I34-#REF!)</f>
        <v>#REF!</v>
      </c>
      <c r="M34" s="267"/>
      <c r="N34" s="227"/>
      <c r="O34" s="215">
        <v>25000</v>
      </c>
      <c r="P34" s="208">
        <v>0</v>
      </c>
      <c r="Q34" s="199">
        <f>SUM(O34:P34)</f>
        <v>25000</v>
      </c>
      <c r="R34" s="39">
        <f t="shared" si="14"/>
        <v>1.25</v>
      </c>
      <c r="T34" s="224"/>
      <c r="U34" s="224"/>
      <c r="V34" s="224"/>
    </row>
    <row r="35" spans="1:28" ht="23.4" customHeight="1" x14ac:dyDescent="0.35">
      <c r="A35" s="4"/>
      <c r="B35" s="231" t="s">
        <v>316</v>
      </c>
      <c r="C35" s="11" t="s">
        <v>26</v>
      </c>
      <c r="D35" s="13" t="s">
        <v>273</v>
      </c>
      <c r="E35" s="8" t="s">
        <v>27</v>
      </c>
      <c r="F35" s="17">
        <v>600</v>
      </c>
      <c r="G35" s="8">
        <v>20</v>
      </c>
      <c r="H35" s="10">
        <v>1</v>
      </c>
      <c r="I35" s="30">
        <f t="shared" si="11"/>
        <v>12000</v>
      </c>
      <c r="J35" s="192">
        <f t="shared" si="12"/>
        <v>12000</v>
      </c>
      <c r="K35" s="193">
        <f t="shared" si="13"/>
        <v>0</v>
      </c>
      <c r="L35" s="87" t="e">
        <f>IF(#REF!="","",I35-#REF!)</f>
        <v>#REF!</v>
      </c>
      <c r="M35" s="267"/>
      <c r="O35" s="207">
        <f>F35*G35</f>
        <v>12000</v>
      </c>
      <c r="P35" s="208">
        <v>0</v>
      </c>
      <c r="Q35" s="199">
        <f>SUM(O35:P35)</f>
        <v>12000</v>
      </c>
      <c r="R35" s="39">
        <f t="shared" si="14"/>
        <v>1</v>
      </c>
      <c r="T35" s="224"/>
      <c r="U35" s="224"/>
      <c r="V35" s="224"/>
    </row>
    <row r="36" spans="1:28" ht="23.4" customHeight="1" x14ac:dyDescent="0.35">
      <c r="A36" s="4"/>
      <c r="B36" s="231" t="s">
        <v>317</v>
      </c>
      <c r="C36" s="11" t="s">
        <v>26</v>
      </c>
      <c r="D36" s="13" t="s">
        <v>33</v>
      </c>
      <c r="E36" s="8" t="s">
        <v>27</v>
      </c>
      <c r="F36" s="17">
        <v>1500</v>
      </c>
      <c r="G36" s="8">
        <v>5</v>
      </c>
      <c r="H36" s="10">
        <v>1</v>
      </c>
      <c r="I36" s="30">
        <f>F36*G36*H36+49500</f>
        <v>57000</v>
      </c>
      <c r="J36" s="192">
        <f t="shared" si="12"/>
        <v>42500</v>
      </c>
      <c r="K36" s="193">
        <f t="shared" si="13"/>
        <v>14500</v>
      </c>
      <c r="L36" s="87" t="e">
        <f>IF(#REF!="","",I36-#REF!)</f>
        <v>#REF!</v>
      </c>
      <c r="M36" s="267" t="s">
        <v>396</v>
      </c>
      <c r="N36" s="215"/>
      <c r="O36" s="207">
        <v>21250</v>
      </c>
      <c r="P36" s="208">
        <v>21250</v>
      </c>
      <c r="Q36" s="199">
        <f t="shared" si="15"/>
        <v>42500</v>
      </c>
      <c r="R36" s="39">
        <f t="shared" si="14"/>
        <v>0.74561403508771928</v>
      </c>
      <c r="T36" s="224"/>
      <c r="U36" s="224"/>
      <c r="V36" s="224"/>
    </row>
    <row r="37" spans="1:28" ht="23.4" customHeight="1" x14ac:dyDescent="0.35">
      <c r="A37" s="4"/>
      <c r="B37" s="231" t="s">
        <v>318</v>
      </c>
      <c r="C37" s="11" t="s">
        <v>26</v>
      </c>
      <c r="D37" s="13" t="s">
        <v>34</v>
      </c>
      <c r="E37" s="8" t="s">
        <v>27</v>
      </c>
      <c r="F37" s="17">
        <v>75000</v>
      </c>
      <c r="G37" s="8">
        <v>1</v>
      </c>
      <c r="H37" s="10">
        <v>3</v>
      </c>
      <c r="I37" s="30">
        <f>F37*G37*H37</f>
        <v>225000</v>
      </c>
      <c r="J37" s="192">
        <f t="shared" si="12"/>
        <v>15000</v>
      </c>
      <c r="K37" s="193">
        <f t="shared" si="13"/>
        <v>210000</v>
      </c>
      <c r="L37" s="87" t="e">
        <f>IF(#REF!="","",I37-#REF!)</f>
        <v>#REF!</v>
      </c>
      <c r="M37" s="267" t="s">
        <v>293</v>
      </c>
      <c r="N37" s="215"/>
      <c r="O37" s="207">
        <v>5000</v>
      </c>
      <c r="P37" s="208">
        <v>10000</v>
      </c>
      <c r="Q37" s="199">
        <f>SUM(N37:P37)</f>
        <v>15000</v>
      </c>
      <c r="R37" s="39">
        <f t="shared" si="14"/>
        <v>6.6666666666666666E-2</v>
      </c>
      <c r="T37" s="224"/>
      <c r="U37" s="224"/>
      <c r="V37" s="224"/>
    </row>
    <row r="38" spans="1:28" ht="23.4" customHeight="1" x14ac:dyDescent="0.35">
      <c r="A38" s="15"/>
      <c r="B38" s="64"/>
      <c r="C38" s="16"/>
      <c r="D38" s="57" t="s">
        <v>35</v>
      </c>
      <c r="E38" s="58"/>
      <c r="F38" s="59"/>
      <c r="G38" s="58"/>
      <c r="H38" s="60"/>
      <c r="I38" s="61">
        <f>SUM(I28:I37)</f>
        <v>994900</v>
      </c>
      <c r="J38" s="184">
        <f t="shared" si="12"/>
        <v>524900</v>
      </c>
      <c r="K38" s="185">
        <f t="shared" si="13"/>
        <v>470000</v>
      </c>
      <c r="L38" s="89" t="e">
        <f>IF(#REF!="","",I38-#REF!)</f>
        <v>#REF!</v>
      </c>
      <c r="M38" s="118"/>
      <c r="N38" s="213"/>
      <c r="O38" s="213"/>
      <c r="P38" s="214"/>
      <c r="Q38" s="204">
        <f>Q28+Q29+Q30+Q31+Q32+Q33+Q34+Q35+Q36+Q37</f>
        <v>524900</v>
      </c>
      <c r="R38" s="62">
        <f t="shared" si="14"/>
        <v>0.52759071263443558</v>
      </c>
      <c r="T38" s="224"/>
      <c r="U38" s="224"/>
      <c r="V38" s="224"/>
    </row>
    <row r="39" spans="1:28" ht="23.4" customHeight="1" x14ac:dyDescent="0.35">
      <c r="A39" s="1" t="s">
        <v>36</v>
      </c>
      <c r="B39" s="64" t="s">
        <v>91</v>
      </c>
      <c r="C39" s="18"/>
      <c r="D39" s="25" t="s">
        <v>37</v>
      </c>
      <c r="E39" s="23"/>
      <c r="F39" s="26"/>
      <c r="G39" s="23"/>
      <c r="H39" s="29"/>
      <c r="I39" s="27"/>
      <c r="J39" s="177"/>
      <c r="K39" s="178"/>
      <c r="L39" s="88" t="e">
        <f>IF(#REF!="","",I39-#REF!)</f>
        <v>#REF!</v>
      </c>
      <c r="M39" s="115"/>
      <c r="N39" s="209"/>
      <c r="O39" s="209"/>
      <c r="P39" s="210"/>
      <c r="Q39" s="202"/>
      <c r="R39" s="69"/>
      <c r="T39" s="224"/>
      <c r="U39" s="224"/>
      <c r="V39" s="224"/>
    </row>
    <row r="40" spans="1:28" ht="23.4" customHeight="1" x14ac:dyDescent="0.35">
      <c r="A40" s="4"/>
      <c r="B40" s="231" t="s">
        <v>319</v>
      </c>
      <c r="C40" s="11"/>
      <c r="D40" s="13" t="s">
        <v>38</v>
      </c>
      <c r="E40" s="8" t="s">
        <v>8</v>
      </c>
      <c r="F40" s="9">
        <v>1000</v>
      </c>
      <c r="G40" s="8">
        <v>1</v>
      </c>
      <c r="H40" s="10">
        <v>36</v>
      </c>
      <c r="I40" s="30">
        <f t="shared" ref="I40:I49" si="16">F40*G40*H40</f>
        <v>36000</v>
      </c>
      <c r="J40" s="192">
        <f t="shared" ref="J40:J49" si="17">Q40</f>
        <v>7000</v>
      </c>
      <c r="K40" s="193">
        <f t="shared" ref="K40:K50" si="18">I40-J40</f>
        <v>29000</v>
      </c>
      <c r="L40" s="87" t="e">
        <f>IF(#REF!="","",I40-#REF!)</f>
        <v>#REF!</v>
      </c>
      <c r="M40" s="267"/>
      <c r="N40" s="207">
        <f>F40</f>
        <v>1000</v>
      </c>
      <c r="O40" s="207">
        <f>F40*$O$3</f>
        <v>3000</v>
      </c>
      <c r="P40" s="208">
        <f>F40*$O$3</f>
        <v>3000</v>
      </c>
      <c r="Q40" s="199">
        <f>SUM(N40:P40)</f>
        <v>7000</v>
      </c>
      <c r="R40" s="39">
        <f t="shared" ref="R40:R50" si="19">Q40/I40</f>
        <v>0.19444444444444445</v>
      </c>
      <c r="T40" s="225"/>
      <c r="U40" s="224"/>
      <c r="V40" s="224"/>
    </row>
    <row r="41" spans="1:28" ht="23.4" customHeight="1" x14ac:dyDescent="0.35">
      <c r="A41" s="4"/>
      <c r="B41" s="231" t="s">
        <v>320</v>
      </c>
      <c r="C41" s="11"/>
      <c r="D41" s="13" t="s">
        <v>39</v>
      </c>
      <c r="E41" s="8" t="s">
        <v>8</v>
      </c>
      <c r="F41" s="9">
        <v>1000</v>
      </c>
      <c r="G41" s="8">
        <v>1</v>
      </c>
      <c r="H41" s="10">
        <v>36</v>
      </c>
      <c r="I41" s="30">
        <f t="shared" si="16"/>
        <v>36000</v>
      </c>
      <c r="J41" s="192">
        <f t="shared" si="17"/>
        <v>6000</v>
      </c>
      <c r="K41" s="193">
        <f t="shared" si="18"/>
        <v>30000</v>
      </c>
      <c r="L41" s="87" t="e">
        <f>IF(#REF!="","",I41-#REF!)</f>
        <v>#REF!</v>
      </c>
      <c r="M41" s="267"/>
      <c r="N41" s="207"/>
      <c r="O41" s="207">
        <f>F41*$O$3</f>
        <v>3000</v>
      </c>
      <c r="P41" s="208">
        <f>F41*$O$3</f>
        <v>3000</v>
      </c>
      <c r="Q41" s="199">
        <f t="shared" ref="Q41:Q49" si="20">SUM(N41:P41)</f>
        <v>6000</v>
      </c>
      <c r="R41" s="39">
        <f t="shared" si="19"/>
        <v>0.16666666666666666</v>
      </c>
      <c r="T41" s="224"/>
      <c r="U41" s="224"/>
      <c r="V41" s="224"/>
    </row>
    <row r="42" spans="1:28" ht="23.4" customHeight="1" x14ac:dyDescent="0.35">
      <c r="A42" s="4"/>
      <c r="B42" s="231" t="s">
        <v>321</v>
      </c>
      <c r="C42" s="11"/>
      <c r="D42" s="13" t="s">
        <v>277</v>
      </c>
      <c r="E42" s="8" t="s">
        <v>8</v>
      </c>
      <c r="F42" s="9">
        <v>500</v>
      </c>
      <c r="G42" s="8">
        <v>1</v>
      </c>
      <c r="H42" s="10">
        <v>36</v>
      </c>
      <c r="I42" s="30">
        <f t="shared" si="16"/>
        <v>18000</v>
      </c>
      <c r="J42" s="192">
        <f t="shared" si="17"/>
        <v>3000</v>
      </c>
      <c r="K42" s="193">
        <f t="shared" si="18"/>
        <v>15000</v>
      </c>
      <c r="L42" s="87" t="e">
        <f>IF(#REF!="","",I42-#REF!)</f>
        <v>#REF!</v>
      </c>
      <c r="M42" s="267"/>
      <c r="N42" s="207"/>
      <c r="O42" s="207">
        <f>F42*$O$3</f>
        <v>1500</v>
      </c>
      <c r="P42" s="208">
        <f>F42*$O$3</f>
        <v>1500</v>
      </c>
      <c r="Q42" s="199">
        <f t="shared" si="20"/>
        <v>3000</v>
      </c>
      <c r="R42" s="39">
        <f t="shared" si="19"/>
        <v>0.16666666666666666</v>
      </c>
      <c r="T42" s="224"/>
      <c r="U42" s="224"/>
      <c r="V42" s="224"/>
    </row>
    <row r="43" spans="1:28" ht="23.4" customHeight="1" x14ac:dyDescent="0.35">
      <c r="A43" s="4"/>
      <c r="B43" s="231" t="s">
        <v>322</v>
      </c>
      <c r="C43" s="11"/>
      <c r="D43" s="13" t="s">
        <v>40</v>
      </c>
      <c r="E43" s="8" t="s">
        <v>8</v>
      </c>
      <c r="F43" s="9">
        <v>1200</v>
      </c>
      <c r="G43" s="8">
        <v>2</v>
      </c>
      <c r="H43" s="10">
        <v>36</v>
      </c>
      <c r="I43" s="30">
        <f t="shared" si="16"/>
        <v>86400</v>
      </c>
      <c r="J43" s="192">
        <f t="shared" si="17"/>
        <v>16800</v>
      </c>
      <c r="K43" s="193">
        <f t="shared" si="18"/>
        <v>69600</v>
      </c>
      <c r="L43" s="87" t="e">
        <f>IF(#REF!="","",I43-#REF!)</f>
        <v>#REF!</v>
      </c>
      <c r="M43" s="267"/>
      <c r="N43" s="207">
        <f>F43*G43</f>
        <v>2400</v>
      </c>
      <c r="O43" s="207">
        <f>F43*G43*$O$3</f>
        <v>7200</v>
      </c>
      <c r="P43" s="208">
        <f>F43*G43*$P$3</f>
        <v>7200</v>
      </c>
      <c r="Q43" s="199">
        <f t="shared" si="20"/>
        <v>16800</v>
      </c>
      <c r="R43" s="39">
        <f t="shared" si="19"/>
        <v>0.19444444444444445</v>
      </c>
      <c r="T43" s="224"/>
      <c r="U43" s="224"/>
      <c r="V43" s="224"/>
    </row>
    <row r="44" spans="1:28" ht="23.4" hidden="1" customHeight="1" x14ac:dyDescent="0.35">
      <c r="A44" s="4"/>
      <c r="B44" s="231" t="s">
        <v>323</v>
      </c>
      <c r="C44" s="11"/>
      <c r="D44" s="13" t="s">
        <v>41</v>
      </c>
      <c r="E44" s="8" t="s">
        <v>42</v>
      </c>
      <c r="F44" s="9">
        <v>1500</v>
      </c>
      <c r="G44" s="8">
        <v>4</v>
      </c>
      <c r="H44" s="10">
        <v>26</v>
      </c>
      <c r="I44" s="30">
        <f t="shared" si="16"/>
        <v>156000</v>
      </c>
      <c r="J44" s="192">
        <f t="shared" si="17"/>
        <v>0</v>
      </c>
      <c r="K44" s="193">
        <f t="shared" si="18"/>
        <v>156000</v>
      </c>
      <c r="L44" s="87" t="e">
        <f>IF(#REF!="","",I44-#REF!)</f>
        <v>#REF!</v>
      </c>
      <c r="M44" s="267"/>
      <c r="N44" s="207">
        <v>0</v>
      </c>
      <c r="O44" s="207">
        <v>0</v>
      </c>
      <c r="P44" s="208">
        <f t="shared" ref="P44" si="21">O44</f>
        <v>0</v>
      </c>
      <c r="Q44" s="199">
        <f t="shared" si="20"/>
        <v>0</v>
      </c>
      <c r="R44" s="39">
        <f t="shared" si="19"/>
        <v>0</v>
      </c>
      <c r="T44" s="224"/>
      <c r="U44" s="224"/>
      <c r="V44" s="224"/>
    </row>
    <row r="45" spans="1:28" s="43" customFormat="1" ht="23.4" customHeight="1" x14ac:dyDescent="0.35">
      <c r="A45" s="4"/>
      <c r="B45" s="231" t="s">
        <v>324</v>
      </c>
      <c r="C45" s="11"/>
      <c r="D45" s="13" t="s">
        <v>43</v>
      </c>
      <c r="E45" s="8" t="s">
        <v>42</v>
      </c>
      <c r="F45" s="9">
        <v>120</v>
      </c>
      <c r="G45" s="8">
        <v>50</v>
      </c>
      <c r="H45" s="10">
        <v>31</v>
      </c>
      <c r="I45" s="30">
        <f t="shared" si="16"/>
        <v>186000</v>
      </c>
      <c r="J45" s="192">
        <f t="shared" si="17"/>
        <v>21600</v>
      </c>
      <c r="K45" s="193">
        <f t="shared" si="18"/>
        <v>164400</v>
      </c>
      <c r="L45" s="90" t="e">
        <f>IF(#REF!="","",I45-#REF!)</f>
        <v>#REF!</v>
      </c>
      <c r="M45" s="267" t="s">
        <v>276</v>
      </c>
      <c r="N45" s="215">
        <v>0</v>
      </c>
      <c r="O45" s="207">
        <f>F45*20*O3</f>
        <v>7200</v>
      </c>
      <c r="P45" s="208">
        <f>F45*20*O3+F45*30*2</f>
        <v>14400</v>
      </c>
      <c r="Q45" s="199">
        <f t="shared" si="20"/>
        <v>21600</v>
      </c>
      <c r="R45" s="45">
        <f t="shared" si="19"/>
        <v>0.11612903225806452</v>
      </c>
      <c r="T45" s="225"/>
      <c r="U45" s="224"/>
      <c r="V45" s="224"/>
      <c r="W45" s="42"/>
      <c r="X45" s="42"/>
      <c r="Y45" s="42"/>
      <c r="Z45" s="42"/>
      <c r="AA45" s="42"/>
      <c r="AB45" s="42"/>
    </row>
    <row r="46" spans="1:28" ht="23.4" customHeight="1" x14ac:dyDescent="0.35">
      <c r="A46" s="4"/>
      <c r="B46" s="231" t="s">
        <v>325</v>
      </c>
      <c r="C46" s="11"/>
      <c r="D46" s="13" t="s">
        <v>44</v>
      </c>
      <c r="E46" s="8" t="s">
        <v>42</v>
      </c>
      <c r="F46" s="9">
        <v>800</v>
      </c>
      <c r="G46" s="8">
        <v>2</v>
      </c>
      <c r="H46" s="10">
        <v>31</v>
      </c>
      <c r="I46" s="30">
        <f t="shared" si="16"/>
        <v>49600</v>
      </c>
      <c r="J46" s="192">
        <f t="shared" si="17"/>
        <v>16000</v>
      </c>
      <c r="K46" s="193">
        <f t="shared" si="18"/>
        <v>33600</v>
      </c>
      <c r="L46" s="87" t="e">
        <f>IF(#REF!="","",I46-#REF!)</f>
        <v>#REF!</v>
      </c>
      <c r="M46" s="267" t="s">
        <v>276</v>
      </c>
      <c r="N46" s="207">
        <v>0</v>
      </c>
      <c r="O46" s="215">
        <f>F46*G46</f>
        <v>1600</v>
      </c>
      <c r="P46" s="208">
        <f>G46*F46*$P$3*3</f>
        <v>14400</v>
      </c>
      <c r="Q46" s="199">
        <f t="shared" si="20"/>
        <v>16000</v>
      </c>
      <c r="R46" s="39">
        <f t="shared" si="19"/>
        <v>0.32258064516129031</v>
      </c>
      <c r="T46" s="224"/>
      <c r="U46" s="224"/>
      <c r="V46" s="224"/>
    </row>
    <row r="47" spans="1:28" ht="23.25" customHeight="1" x14ac:dyDescent="0.35">
      <c r="A47" s="4"/>
      <c r="B47" s="231" t="s">
        <v>326</v>
      </c>
      <c r="C47" s="11"/>
      <c r="D47" s="13" t="s">
        <v>45</v>
      </c>
      <c r="E47" s="8" t="s">
        <v>42</v>
      </c>
      <c r="F47" s="9">
        <v>2000</v>
      </c>
      <c r="G47" s="8">
        <v>1</v>
      </c>
      <c r="H47" s="10">
        <v>36</v>
      </c>
      <c r="I47" s="30">
        <f t="shared" si="16"/>
        <v>72000</v>
      </c>
      <c r="J47" s="192">
        <f t="shared" si="17"/>
        <v>14000</v>
      </c>
      <c r="K47" s="193">
        <f t="shared" si="18"/>
        <v>58000</v>
      </c>
      <c r="L47" s="87" t="e">
        <f>IF(#REF!="","",I47-#REF!)</f>
        <v>#REF!</v>
      </c>
      <c r="M47" s="267"/>
      <c r="N47" s="207">
        <f>F47</f>
        <v>2000</v>
      </c>
      <c r="O47" s="207">
        <f>F47*O3</f>
        <v>6000</v>
      </c>
      <c r="P47" s="208">
        <f>F47*P3</f>
        <v>6000</v>
      </c>
      <c r="Q47" s="199">
        <f t="shared" si="20"/>
        <v>14000</v>
      </c>
      <c r="R47" s="39">
        <f t="shared" si="19"/>
        <v>0.19444444444444445</v>
      </c>
      <c r="T47" s="224"/>
      <c r="U47" s="224"/>
      <c r="V47" s="224"/>
    </row>
    <row r="48" spans="1:28" ht="23.4" customHeight="1" x14ac:dyDescent="0.35">
      <c r="A48" s="4"/>
      <c r="B48" s="231" t="s">
        <v>327</v>
      </c>
      <c r="C48" s="11"/>
      <c r="D48" s="13" t="s">
        <v>274</v>
      </c>
      <c r="E48" s="8" t="s">
        <v>42</v>
      </c>
      <c r="F48" s="9">
        <v>1200</v>
      </c>
      <c r="G48" s="8">
        <v>1</v>
      </c>
      <c r="H48" s="10">
        <v>36</v>
      </c>
      <c r="I48" s="30">
        <f t="shared" si="16"/>
        <v>43200</v>
      </c>
      <c r="J48" s="192">
        <f t="shared" si="17"/>
        <v>8400</v>
      </c>
      <c r="K48" s="193">
        <f t="shared" si="18"/>
        <v>34800</v>
      </c>
      <c r="L48" s="87" t="e">
        <f>IF(#REF!="","",I48-#REF!)</f>
        <v>#REF!</v>
      </c>
      <c r="M48" s="267"/>
      <c r="N48" s="207">
        <f>F48</f>
        <v>1200</v>
      </c>
      <c r="O48" s="207">
        <f>F48*O3</f>
        <v>3600</v>
      </c>
      <c r="P48" s="208">
        <f>F48*P3</f>
        <v>3600</v>
      </c>
      <c r="Q48" s="199">
        <f t="shared" si="20"/>
        <v>8400</v>
      </c>
      <c r="R48" s="39">
        <f t="shared" si="19"/>
        <v>0.19444444444444445</v>
      </c>
      <c r="T48" s="224"/>
      <c r="U48" s="224"/>
      <c r="V48" s="224"/>
    </row>
    <row r="49" spans="1:28" s="43" customFormat="1" ht="23.4" customHeight="1" x14ac:dyDescent="0.35">
      <c r="A49" s="4"/>
      <c r="B49" s="231" t="s">
        <v>328</v>
      </c>
      <c r="C49" s="11"/>
      <c r="D49" s="13" t="s">
        <v>46</v>
      </c>
      <c r="E49" s="8" t="s">
        <v>42</v>
      </c>
      <c r="F49" s="9">
        <v>1200</v>
      </c>
      <c r="G49" s="8">
        <v>1</v>
      </c>
      <c r="H49" s="10">
        <v>36</v>
      </c>
      <c r="I49" s="30">
        <f t="shared" si="16"/>
        <v>43200</v>
      </c>
      <c r="J49" s="192">
        <f t="shared" si="17"/>
        <v>8400</v>
      </c>
      <c r="K49" s="193">
        <f t="shared" si="18"/>
        <v>34800</v>
      </c>
      <c r="L49" s="90" t="e">
        <f>IF(#REF!="","",I49-#REF!)</f>
        <v>#REF!</v>
      </c>
      <c r="M49" s="119"/>
      <c r="N49" s="215">
        <f>F49</f>
        <v>1200</v>
      </c>
      <c r="O49" s="207">
        <f>F49*O3</f>
        <v>3600</v>
      </c>
      <c r="P49" s="208">
        <f>F49*O3</f>
        <v>3600</v>
      </c>
      <c r="Q49" s="199">
        <f t="shared" si="20"/>
        <v>8400</v>
      </c>
      <c r="R49" s="45">
        <f t="shared" si="19"/>
        <v>0.19444444444444445</v>
      </c>
      <c r="T49" s="225"/>
      <c r="U49" s="224"/>
      <c r="V49" s="224"/>
      <c r="W49" s="42"/>
      <c r="X49" s="42"/>
      <c r="Y49" s="42"/>
      <c r="Z49" s="42"/>
      <c r="AA49" s="42"/>
      <c r="AB49" s="42"/>
    </row>
    <row r="50" spans="1:28" ht="23.4" customHeight="1" x14ac:dyDescent="0.35">
      <c r="A50" s="15"/>
      <c r="B50" s="64"/>
      <c r="C50" s="16"/>
      <c r="D50" s="57" t="s">
        <v>47</v>
      </c>
      <c r="E50" s="58"/>
      <c r="F50" s="59"/>
      <c r="G50" s="58"/>
      <c r="H50" s="60"/>
      <c r="I50" s="61">
        <f>SUM(I40:I49)</f>
        <v>726400</v>
      </c>
      <c r="J50" s="184">
        <f>Q50</f>
        <v>101200</v>
      </c>
      <c r="K50" s="185">
        <f t="shared" si="18"/>
        <v>625200</v>
      </c>
      <c r="L50" s="89" t="e">
        <f>IF(#REF!="","",I50-#REF!)</f>
        <v>#REF!</v>
      </c>
      <c r="M50" s="118"/>
      <c r="N50" s="213"/>
      <c r="O50" s="213"/>
      <c r="P50" s="214"/>
      <c r="Q50" s="204">
        <f>Q40+Q41+Q42+Q43+Q44+Q45+Q46+Q47+Q48+Q49</f>
        <v>101200</v>
      </c>
      <c r="R50" s="62">
        <f t="shared" si="19"/>
        <v>0.13931718061674009</v>
      </c>
      <c r="T50" s="224"/>
      <c r="U50" s="224"/>
      <c r="V50" s="224"/>
    </row>
    <row r="51" spans="1:28" ht="23.4" customHeight="1" x14ac:dyDescent="0.35">
      <c r="A51" s="1" t="s">
        <v>134</v>
      </c>
      <c r="B51" s="64" t="s">
        <v>102</v>
      </c>
      <c r="C51" s="18"/>
      <c r="D51" s="25" t="s">
        <v>135</v>
      </c>
      <c r="E51" s="23"/>
      <c r="F51" s="26"/>
      <c r="G51" s="23"/>
      <c r="H51" s="29"/>
      <c r="I51" s="27"/>
      <c r="J51" s="177"/>
      <c r="K51" s="178"/>
      <c r="L51" s="88"/>
      <c r="M51" s="115"/>
      <c r="N51" s="209"/>
      <c r="O51" s="209"/>
      <c r="P51" s="210"/>
      <c r="Q51" s="200"/>
      <c r="R51" s="56"/>
      <c r="T51" s="224"/>
      <c r="U51" s="224"/>
      <c r="V51" s="224"/>
    </row>
    <row r="52" spans="1:28" ht="23.4" customHeight="1" x14ac:dyDescent="0.35">
      <c r="A52" s="19"/>
      <c r="B52" s="64" t="s">
        <v>5</v>
      </c>
      <c r="C52" s="6"/>
      <c r="D52" s="7" t="s">
        <v>294</v>
      </c>
      <c r="E52" s="8"/>
      <c r="F52" s="9"/>
      <c r="G52" s="8"/>
      <c r="H52" s="10"/>
      <c r="I52" s="30"/>
      <c r="J52" s="192"/>
      <c r="K52" s="193"/>
      <c r="L52" s="87" t="e">
        <f>IF(#REF!="","",I52-#REF!)</f>
        <v>#REF!</v>
      </c>
      <c r="M52" s="267"/>
      <c r="N52" s="207"/>
      <c r="O52" s="207"/>
      <c r="P52" s="208"/>
      <c r="Q52" s="199"/>
      <c r="R52" s="39"/>
      <c r="T52" s="224"/>
      <c r="U52" s="224"/>
      <c r="V52" s="224"/>
    </row>
    <row r="53" spans="1:28" ht="23.4" hidden="1" customHeight="1" x14ac:dyDescent="0.35">
      <c r="A53" s="4"/>
      <c r="B53" s="231" t="s">
        <v>329</v>
      </c>
      <c r="C53" s="11"/>
      <c r="D53" s="13" t="s">
        <v>48</v>
      </c>
      <c r="E53" s="8" t="s">
        <v>49</v>
      </c>
      <c r="F53" s="9">
        <v>2000</v>
      </c>
      <c r="G53" s="8">
        <v>20</v>
      </c>
      <c r="H53" s="10">
        <v>1</v>
      </c>
      <c r="I53" s="30">
        <f t="shared" ref="I53:I60" si="22">F53*G53*H53</f>
        <v>40000</v>
      </c>
      <c r="J53" s="192">
        <f t="shared" ref="J53:J61" si="23">Q53</f>
        <v>0</v>
      </c>
      <c r="K53" s="193">
        <f t="shared" ref="K53:K61" si="24">I53-J53</f>
        <v>40000</v>
      </c>
      <c r="L53" s="87" t="e">
        <f>IF(#REF!="","",I53-#REF!)</f>
        <v>#REF!</v>
      </c>
      <c r="N53" s="207">
        <v>0</v>
      </c>
      <c r="O53" s="207">
        <v>0</v>
      </c>
      <c r="P53" s="208">
        <v>0</v>
      </c>
      <c r="Q53" s="199">
        <f>SUM(N53:P53)</f>
        <v>0</v>
      </c>
      <c r="R53" s="39">
        <f t="shared" ref="R53:R60" si="25">Q53/I53</f>
        <v>0</v>
      </c>
      <c r="T53" s="224"/>
      <c r="U53" s="224"/>
      <c r="V53" s="224"/>
    </row>
    <row r="54" spans="1:28" ht="23.4" customHeight="1" x14ac:dyDescent="0.35">
      <c r="A54" s="4"/>
      <c r="B54" s="231" t="s">
        <v>330</v>
      </c>
      <c r="C54" s="11"/>
      <c r="D54" s="13" t="s">
        <v>50</v>
      </c>
      <c r="E54" s="8" t="s">
        <v>51</v>
      </c>
      <c r="F54" s="9">
        <v>5000</v>
      </c>
      <c r="G54" s="8">
        <v>4</v>
      </c>
      <c r="H54" s="10">
        <v>1</v>
      </c>
      <c r="I54" s="30">
        <f t="shared" si="22"/>
        <v>20000</v>
      </c>
      <c r="J54" s="192">
        <f t="shared" si="23"/>
        <v>15000</v>
      </c>
      <c r="K54" s="193">
        <f t="shared" si="24"/>
        <v>5000</v>
      </c>
      <c r="L54" s="87" t="e">
        <f>IF(#REF!="","",I54-#REF!)</f>
        <v>#REF!</v>
      </c>
      <c r="M54" s="267" t="s">
        <v>295</v>
      </c>
      <c r="N54" s="207">
        <v>0</v>
      </c>
      <c r="O54" s="207">
        <v>0</v>
      </c>
      <c r="P54" s="208">
        <v>15000</v>
      </c>
      <c r="Q54" s="199">
        <f t="shared" ref="Q54:Q60" si="26">SUM(N54:P54)</f>
        <v>15000</v>
      </c>
      <c r="R54" s="39">
        <f t="shared" si="25"/>
        <v>0.75</v>
      </c>
      <c r="T54" s="224"/>
      <c r="U54" s="224"/>
      <c r="V54" s="224"/>
    </row>
    <row r="55" spans="1:28" ht="23.4" customHeight="1" x14ac:dyDescent="0.35">
      <c r="A55" s="4"/>
      <c r="B55" s="231" t="s">
        <v>331</v>
      </c>
      <c r="C55" s="11"/>
      <c r="D55" s="13" t="s">
        <v>296</v>
      </c>
      <c r="E55" s="8" t="s">
        <v>52</v>
      </c>
      <c r="F55" s="9">
        <v>10000</v>
      </c>
      <c r="G55" s="8">
        <v>1</v>
      </c>
      <c r="H55" s="10">
        <v>1</v>
      </c>
      <c r="I55" s="30">
        <f t="shared" si="22"/>
        <v>10000</v>
      </c>
      <c r="J55" s="192">
        <f t="shared" si="23"/>
        <v>5000</v>
      </c>
      <c r="K55" s="193">
        <f t="shared" si="24"/>
        <v>5000</v>
      </c>
      <c r="L55" s="87" t="e">
        <f>IF(#REF!="","",I55-#REF!)</f>
        <v>#REF!</v>
      </c>
      <c r="M55" s="267" t="s">
        <v>297</v>
      </c>
      <c r="N55" s="207">
        <v>0</v>
      </c>
      <c r="O55" s="207">
        <v>0</v>
      </c>
      <c r="P55" s="208">
        <v>5000</v>
      </c>
      <c r="Q55" s="199">
        <f t="shared" si="26"/>
        <v>5000</v>
      </c>
      <c r="R55" s="39">
        <f t="shared" si="25"/>
        <v>0.5</v>
      </c>
      <c r="T55" s="224"/>
      <c r="U55" s="224"/>
      <c r="V55" s="224"/>
    </row>
    <row r="56" spans="1:28" ht="23.4" customHeight="1" x14ac:dyDescent="0.35">
      <c r="A56" s="4"/>
      <c r="B56" s="231" t="s">
        <v>332</v>
      </c>
      <c r="C56" s="11"/>
      <c r="D56" s="13" t="s">
        <v>54</v>
      </c>
      <c r="E56" s="8" t="s">
        <v>53</v>
      </c>
      <c r="F56" s="9">
        <v>1000</v>
      </c>
      <c r="G56" s="8">
        <v>4</v>
      </c>
      <c r="H56" s="10">
        <v>9</v>
      </c>
      <c r="I56" s="30">
        <f t="shared" si="22"/>
        <v>36000</v>
      </c>
      <c r="J56" s="192">
        <f t="shared" si="23"/>
        <v>4000</v>
      </c>
      <c r="K56" s="193">
        <f t="shared" si="24"/>
        <v>32000</v>
      </c>
      <c r="L56" s="90" t="e">
        <f>IF(#REF!="","",I56-#REF!)</f>
        <v>#REF!</v>
      </c>
      <c r="M56" s="119" t="s">
        <v>298</v>
      </c>
      <c r="N56" s="215">
        <v>0</v>
      </c>
      <c r="O56" s="253"/>
      <c r="P56" s="251">
        <f>F56*G56</f>
        <v>4000</v>
      </c>
      <c r="Q56" s="252">
        <f>SUM(N56:P56)</f>
        <v>4000</v>
      </c>
      <c r="R56" s="45">
        <f t="shared" si="25"/>
        <v>0.1111111111111111</v>
      </c>
      <c r="T56" s="224"/>
      <c r="U56" s="224"/>
      <c r="V56" s="224"/>
    </row>
    <row r="57" spans="1:28" ht="22.25" customHeight="1" x14ac:dyDescent="0.35">
      <c r="A57" s="4"/>
      <c r="B57" s="231" t="s">
        <v>333</v>
      </c>
      <c r="C57" s="11"/>
      <c r="D57" s="13" t="s">
        <v>132</v>
      </c>
      <c r="E57" s="8" t="s">
        <v>53</v>
      </c>
      <c r="F57" s="9">
        <v>200</v>
      </c>
      <c r="G57" s="8">
        <v>10</v>
      </c>
      <c r="H57" s="10">
        <v>9</v>
      </c>
      <c r="I57" s="30">
        <f t="shared" si="22"/>
        <v>18000</v>
      </c>
      <c r="J57" s="192">
        <f t="shared" si="23"/>
        <v>2000</v>
      </c>
      <c r="K57" s="193">
        <f t="shared" si="24"/>
        <v>16000</v>
      </c>
      <c r="L57" s="87" t="e">
        <f>IF(#REF!="","",I57-#REF!)</f>
        <v>#REF!</v>
      </c>
      <c r="M57" s="267" t="s">
        <v>298</v>
      </c>
      <c r="N57" s="207">
        <v>0</v>
      </c>
      <c r="O57" s="227"/>
      <c r="P57" s="208">
        <f>F57*G57</f>
        <v>2000</v>
      </c>
      <c r="Q57" s="199">
        <f>SUM(N57:P57)</f>
        <v>2000</v>
      </c>
      <c r="R57" s="39">
        <f t="shared" si="25"/>
        <v>0.1111111111111111</v>
      </c>
      <c r="T57" s="224"/>
      <c r="U57" s="224"/>
      <c r="V57" s="224"/>
    </row>
    <row r="58" spans="1:28" ht="23.4" customHeight="1" x14ac:dyDescent="0.35">
      <c r="A58" s="4"/>
      <c r="B58" s="231" t="s">
        <v>334</v>
      </c>
      <c r="C58" s="11"/>
      <c r="D58" s="13" t="s">
        <v>55</v>
      </c>
      <c r="E58" s="8" t="s">
        <v>56</v>
      </c>
      <c r="F58" s="9">
        <v>5000</v>
      </c>
      <c r="G58" s="8">
        <v>2</v>
      </c>
      <c r="H58" s="10">
        <v>1</v>
      </c>
      <c r="I58" s="30">
        <f t="shared" si="22"/>
        <v>10000</v>
      </c>
      <c r="J58" s="192">
        <f t="shared" si="23"/>
        <v>10000</v>
      </c>
      <c r="K58" s="193">
        <f t="shared" si="24"/>
        <v>0</v>
      </c>
      <c r="L58" s="87" t="e">
        <f>IF(#REF!="","",I58-#REF!)</f>
        <v>#REF!</v>
      </c>
      <c r="M58" s="267"/>
      <c r="N58" s="207">
        <v>0</v>
      </c>
      <c r="O58" s="207">
        <v>0</v>
      </c>
      <c r="P58" s="208">
        <f>F58*G58</f>
        <v>10000</v>
      </c>
      <c r="Q58" s="199">
        <f t="shared" si="26"/>
        <v>10000</v>
      </c>
      <c r="R58" s="39">
        <f t="shared" si="25"/>
        <v>1</v>
      </c>
      <c r="T58" s="224"/>
      <c r="U58" s="224"/>
      <c r="V58" s="224"/>
    </row>
    <row r="59" spans="1:28" ht="23.4" customHeight="1" x14ac:dyDescent="0.35">
      <c r="A59" s="4"/>
      <c r="B59" s="231" t="s">
        <v>335</v>
      </c>
      <c r="C59" s="11"/>
      <c r="D59" s="13" t="s">
        <v>57</v>
      </c>
      <c r="E59" s="8" t="s">
        <v>58</v>
      </c>
      <c r="F59" s="9">
        <v>5000</v>
      </c>
      <c r="G59" s="8">
        <v>1</v>
      </c>
      <c r="H59" s="10">
        <v>3</v>
      </c>
      <c r="I59" s="30">
        <f t="shared" si="22"/>
        <v>15000</v>
      </c>
      <c r="J59" s="192">
        <f t="shared" si="23"/>
        <v>5000</v>
      </c>
      <c r="K59" s="193">
        <f t="shared" si="24"/>
        <v>10000</v>
      </c>
      <c r="L59" s="87" t="e">
        <f>IF(#REF!="","",I59-#REF!)</f>
        <v>#REF!</v>
      </c>
      <c r="M59" s="267" t="s">
        <v>299</v>
      </c>
      <c r="N59" s="207">
        <v>0</v>
      </c>
      <c r="O59" s="207">
        <f>F59</f>
        <v>5000</v>
      </c>
      <c r="P59" s="208">
        <v>0</v>
      </c>
      <c r="Q59" s="199">
        <f t="shared" si="26"/>
        <v>5000</v>
      </c>
      <c r="R59" s="39">
        <f t="shared" si="25"/>
        <v>0.33333333333333331</v>
      </c>
      <c r="T59" s="224"/>
      <c r="U59" s="224"/>
      <c r="V59" s="224"/>
    </row>
    <row r="60" spans="1:28" s="43" customFormat="1" ht="34.5" x14ac:dyDescent="0.35">
      <c r="A60" s="4"/>
      <c r="B60" s="231" t="s">
        <v>336</v>
      </c>
      <c r="C60" s="11"/>
      <c r="D60" s="13" t="s">
        <v>59</v>
      </c>
      <c r="E60" s="8" t="s">
        <v>60</v>
      </c>
      <c r="F60" s="9">
        <v>5000</v>
      </c>
      <c r="G60" s="8">
        <v>4</v>
      </c>
      <c r="H60" s="10">
        <v>3</v>
      </c>
      <c r="I60" s="30">
        <f t="shared" si="22"/>
        <v>60000</v>
      </c>
      <c r="J60" s="192">
        <f t="shared" si="23"/>
        <v>32000</v>
      </c>
      <c r="K60" s="193">
        <f t="shared" si="24"/>
        <v>28000</v>
      </c>
      <c r="L60" s="90" t="e">
        <f>IF(#REF!="","",I60-#REF!)</f>
        <v>#REF!</v>
      </c>
      <c r="M60" s="250" t="s">
        <v>305</v>
      </c>
      <c r="N60" s="215">
        <v>0</v>
      </c>
      <c r="O60" s="215">
        <v>20000</v>
      </c>
      <c r="P60" s="251">
        <v>12000</v>
      </c>
      <c r="Q60" s="252">
        <f t="shared" si="26"/>
        <v>32000</v>
      </c>
      <c r="R60" s="45">
        <f t="shared" si="25"/>
        <v>0.53333333333333333</v>
      </c>
      <c r="T60" s="225"/>
      <c r="U60" s="225"/>
      <c r="V60" s="225"/>
    </row>
    <row r="61" spans="1:28" ht="23.4" customHeight="1" x14ac:dyDescent="0.35">
      <c r="A61" s="1"/>
      <c r="B61" s="64"/>
      <c r="C61" s="18"/>
      <c r="D61" s="25" t="s">
        <v>389</v>
      </c>
      <c r="E61" s="23"/>
      <c r="F61" s="26"/>
      <c r="G61" s="23"/>
      <c r="H61" s="29"/>
      <c r="I61" s="27">
        <f>SUM(I53:I60)</f>
        <v>209000</v>
      </c>
      <c r="J61" s="177">
        <f t="shared" si="23"/>
        <v>73000</v>
      </c>
      <c r="K61" s="178">
        <f t="shared" si="24"/>
        <v>136000</v>
      </c>
      <c r="L61" s="88" t="e">
        <f>IF(#REF!="","",I61-#REF!)</f>
        <v>#REF!</v>
      </c>
      <c r="M61" s="115"/>
      <c r="N61" s="209"/>
      <c r="O61" s="209"/>
      <c r="P61" s="210"/>
      <c r="Q61" s="200">
        <f>Q53+Q54+Q55+Q57+Q56+Q58+Q59+Q60</f>
        <v>73000</v>
      </c>
      <c r="R61" s="71">
        <f>Q61/I61</f>
        <v>0.34928229665071769</v>
      </c>
      <c r="T61" s="224"/>
      <c r="U61" s="224"/>
      <c r="V61" s="224"/>
    </row>
    <row r="62" spans="1:28" ht="23.4" customHeight="1" x14ac:dyDescent="0.35">
      <c r="A62" s="19"/>
      <c r="B62" s="64" t="s">
        <v>337</v>
      </c>
      <c r="C62" s="6"/>
      <c r="D62" s="7" t="s">
        <v>300</v>
      </c>
      <c r="E62" s="5"/>
      <c r="F62" s="20"/>
      <c r="G62" s="5"/>
      <c r="H62" s="21"/>
      <c r="I62" s="31"/>
      <c r="J62" s="192"/>
      <c r="K62" s="193"/>
      <c r="L62" s="87" t="e">
        <f>IF(#REF!="","",I62-#REF!)</f>
        <v>#REF!</v>
      </c>
      <c r="M62" s="267"/>
      <c r="N62" s="207"/>
      <c r="O62" s="207"/>
      <c r="P62" s="208"/>
      <c r="Q62" s="199"/>
      <c r="R62" s="39"/>
      <c r="T62" s="224"/>
      <c r="U62" s="224"/>
      <c r="V62" s="224"/>
    </row>
    <row r="63" spans="1:28" ht="23.4" customHeight="1" x14ac:dyDescent="0.35">
      <c r="A63" s="4"/>
      <c r="B63" s="231" t="s">
        <v>338</v>
      </c>
      <c r="C63" s="11"/>
      <c r="D63" s="13" t="s">
        <v>61</v>
      </c>
      <c r="E63" s="8" t="s">
        <v>62</v>
      </c>
      <c r="F63" s="9">
        <v>80</v>
      </c>
      <c r="G63" s="8">
        <v>20</v>
      </c>
      <c r="H63" s="10">
        <v>31</v>
      </c>
      <c r="I63" s="30">
        <f t="shared" ref="I63:I72" si="27">F63*G63*H63</f>
        <v>49600</v>
      </c>
      <c r="J63" s="192">
        <f t="shared" ref="J63:J73" si="28">Q63</f>
        <v>3200</v>
      </c>
      <c r="K63" s="193">
        <f t="shared" ref="K63:K73" si="29">I63-J63</f>
        <v>46400</v>
      </c>
      <c r="L63" s="87" t="e">
        <f>IF(#REF!="","",I63-#REF!)</f>
        <v>#REF!</v>
      </c>
      <c r="M63" s="267"/>
      <c r="N63" s="207">
        <v>0</v>
      </c>
      <c r="O63" s="207">
        <v>0</v>
      </c>
      <c r="P63" s="208">
        <f>F63*G63*2</f>
        <v>3200</v>
      </c>
      <c r="Q63" s="199">
        <f>SUM(N63:P63)</f>
        <v>3200</v>
      </c>
      <c r="R63" s="39">
        <f t="shared" ref="R63:R73" si="30">Q63/I63</f>
        <v>6.4516129032258063E-2</v>
      </c>
      <c r="T63" s="224"/>
      <c r="U63" s="224"/>
      <c r="V63" s="224"/>
    </row>
    <row r="64" spans="1:28" ht="23.4" customHeight="1" x14ac:dyDescent="0.35">
      <c r="A64" s="4"/>
      <c r="B64" s="231" t="s">
        <v>339</v>
      </c>
      <c r="C64" s="11"/>
      <c r="D64" s="13" t="s">
        <v>63</v>
      </c>
      <c r="E64" s="8" t="s">
        <v>64</v>
      </c>
      <c r="F64" s="9">
        <v>2500</v>
      </c>
      <c r="G64" s="8">
        <v>1</v>
      </c>
      <c r="H64" s="10">
        <v>3</v>
      </c>
      <c r="I64" s="30">
        <f t="shared" si="27"/>
        <v>7500</v>
      </c>
      <c r="J64" s="192">
        <f t="shared" si="28"/>
        <v>7500</v>
      </c>
      <c r="K64" s="193">
        <f t="shared" si="29"/>
        <v>0</v>
      </c>
      <c r="L64" s="87" t="e">
        <f>IF(#REF!="","",I64-#REF!)</f>
        <v>#REF!</v>
      </c>
      <c r="M64" s="267"/>
      <c r="N64" s="207">
        <v>0</v>
      </c>
      <c r="O64" s="207">
        <v>0</v>
      </c>
      <c r="P64" s="208">
        <f>F64*G64*H64</f>
        <v>7500</v>
      </c>
      <c r="Q64" s="199">
        <f t="shared" ref="Q64:Q72" si="31">SUM(N64:P64)</f>
        <v>7500</v>
      </c>
      <c r="R64" s="39">
        <f t="shared" si="30"/>
        <v>1</v>
      </c>
      <c r="T64" s="224"/>
      <c r="U64" s="224"/>
      <c r="V64" s="224"/>
    </row>
    <row r="65" spans="1:22" ht="23.4" customHeight="1" x14ac:dyDescent="0.35">
      <c r="A65" s="4"/>
      <c r="B65" s="231" t="s">
        <v>340</v>
      </c>
      <c r="C65" s="11"/>
      <c r="D65" s="13" t="s">
        <v>65</v>
      </c>
      <c r="E65" s="8" t="s">
        <v>53</v>
      </c>
      <c r="F65" s="9">
        <v>2000</v>
      </c>
      <c r="G65" s="8">
        <v>1</v>
      </c>
      <c r="H65" s="10">
        <v>3</v>
      </c>
      <c r="I65" s="30">
        <f t="shared" si="27"/>
        <v>6000</v>
      </c>
      <c r="J65" s="192">
        <f t="shared" si="28"/>
        <v>2000</v>
      </c>
      <c r="K65" s="193">
        <f t="shared" si="29"/>
        <v>4000</v>
      </c>
      <c r="L65" s="87" t="e">
        <f>IF(#REF!="","",I65-#REF!)</f>
        <v>#REF!</v>
      </c>
      <c r="M65" s="267"/>
      <c r="N65" s="207">
        <v>0</v>
      </c>
      <c r="O65" s="207">
        <v>0</v>
      </c>
      <c r="P65" s="208">
        <f>F65*G65</f>
        <v>2000</v>
      </c>
      <c r="Q65" s="199">
        <f t="shared" si="31"/>
        <v>2000</v>
      </c>
      <c r="R65" s="39">
        <f t="shared" si="30"/>
        <v>0.33333333333333331</v>
      </c>
      <c r="T65" s="224"/>
      <c r="U65" s="224"/>
      <c r="V65" s="224"/>
    </row>
    <row r="66" spans="1:22" ht="23.4" customHeight="1" x14ac:dyDescent="0.35">
      <c r="A66" s="4"/>
      <c r="B66" s="231" t="s">
        <v>341</v>
      </c>
      <c r="C66" s="11"/>
      <c r="D66" s="13" t="s">
        <v>66</v>
      </c>
      <c r="E66" s="8" t="s">
        <v>62</v>
      </c>
      <c r="F66" s="9">
        <v>80</v>
      </c>
      <c r="G66" s="8">
        <v>20</v>
      </c>
      <c r="H66" s="10">
        <v>31</v>
      </c>
      <c r="I66" s="30">
        <f t="shared" si="27"/>
        <v>49600</v>
      </c>
      <c r="J66" s="192">
        <f t="shared" si="28"/>
        <v>3200</v>
      </c>
      <c r="K66" s="193">
        <f t="shared" si="29"/>
        <v>46400</v>
      </c>
      <c r="L66" s="87" t="e">
        <f>IF(#REF!="","",I66-#REF!)</f>
        <v>#REF!</v>
      </c>
      <c r="M66" s="267"/>
      <c r="N66" s="207">
        <v>0</v>
      </c>
      <c r="O66" s="207">
        <v>0</v>
      </c>
      <c r="P66" s="208">
        <f>F66*G66*2</f>
        <v>3200</v>
      </c>
      <c r="Q66" s="199">
        <f t="shared" si="31"/>
        <v>3200</v>
      </c>
      <c r="R66" s="39">
        <f t="shared" si="30"/>
        <v>6.4516129032258063E-2</v>
      </c>
      <c r="T66" s="224"/>
      <c r="U66" s="224"/>
      <c r="V66" s="224"/>
    </row>
    <row r="67" spans="1:22" ht="23.4" customHeight="1" x14ac:dyDescent="0.35">
      <c r="A67" s="4"/>
      <c r="B67" s="231" t="s">
        <v>342</v>
      </c>
      <c r="C67" s="11"/>
      <c r="D67" s="13" t="s">
        <v>67</v>
      </c>
      <c r="E67" s="8" t="s">
        <v>68</v>
      </c>
      <c r="F67" s="9">
        <v>1500</v>
      </c>
      <c r="G67" s="8">
        <v>4</v>
      </c>
      <c r="H67" s="10">
        <v>3</v>
      </c>
      <c r="I67" s="30">
        <f t="shared" si="27"/>
        <v>18000</v>
      </c>
      <c r="J67" s="192">
        <f t="shared" si="28"/>
        <v>2500</v>
      </c>
      <c r="K67" s="193">
        <f t="shared" si="29"/>
        <v>15500</v>
      </c>
      <c r="L67" s="87" t="e">
        <f>IF(#REF!="","",I67-#REF!)</f>
        <v>#REF!</v>
      </c>
      <c r="M67" s="267"/>
      <c r="N67" s="207">
        <v>0</v>
      </c>
      <c r="O67" s="207">
        <v>0</v>
      </c>
      <c r="P67" s="208">
        <f>F67*G67*5/12</f>
        <v>2500</v>
      </c>
      <c r="Q67" s="199">
        <f t="shared" si="31"/>
        <v>2500</v>
      </c>
      <c r="R67" s="39">
        <f t="shared" si="30"/>
        <v>0.1388888888888889</v>
      </c>
      <c r="T67" s="224"/>
      <c r="U67" s="224"/>
      <c r="V67" s="224"/>
    </row>
    <row r="68" spans="1:22" ht="23.4" customHeight="1" x14ac:dyDescent="0.35">
      <c r="A68" s="4"/>
      <c r="B68" s="231" t="s">
        <v>343</v>
      </c>
      <c r="C68" s="11"/>
      <c r="D68" s="13" t="s">
        <v>69</v>
      </c>
      <c r="E68" s="8" t="s">
        <v>68</v>
      </c>
      <c r="F68" s="9">
        <v>1000</v>
      </c>
      <c r="G68" s="8">
        <v>4</v>
      </c>
      <c r="H68" s="10">
        <v>3</v>
      </c>
      <c r="I68" s="30">
        <f t="shared" si="27"/>
        <v>12000</v>
      </c>
      <c r="J68" s="192">
        <f t="shared" si="28"/>
        <v>1666.6666666666667</v>
      </c>
      <c r="K68" s="193">
        <f t="shared" si="29"/>
        <v>10333.333333333334</v>
      </c>
      <c r="L68" s="87" t="e">
        <f>IF(#REF!="","",I68-#REF!)</f>
        <v>#REF!</v>
      </c>
      <c r="M68" s="267"/>
      <c r="N68" s="207">
        <v>0</v>
      </c>
      <c r="O68" s="207">
        <v>0</v>
      </c>
      <c r="P68" s="208">
        <f>F68*G68*5/12</f>
        <v>1666.6666666666667</v>
      </c>
      <c r="Q68" s="199">
        <f t="shared" si="31"/>
        <v>1666.6666666666667</v>
      </c>
      <c r="R68" s="39">
        <f t="shared" si="30"/>
        <v>0.1388888888888889</v>
      </c>
      <c r="T68" s="224"/>
      <c r="U68" s="224"/>
      <c r="V68" s="224"/>
    </row>
    <row r="69" spans="1:22" ht="23.4" customHeight="1" x14ac:dyDescent="0.35">
      <c r="A69" s="4"/>
      <c r="B69" s="231" t="s">
        <v>344</v>
      </c>
      <c r="C69" s="11"/>
      <c r="D69" s="13" t="s">
        <v>70</v>
      </c>
      <c r="E69" s="8" t="s">
        <v>32</v>
      </c>
      <c r="F69" s="9">
        <v>7500</v>
      </c>
      <c r="G69" s="8">
        <v>1</v>
      </c>
      <c r="H69" s="10">
        <v>3</v>
      </c>
      <c r="I69" s="30">
        <f t="shared" si="27"/>
        <v>22500</v>
      </c>
      <c r="J69" s="192">
        <f t="shared" si="28"/>
        <v>3125</v>
      </c>
      <c r="K69" s="193">
        <f t="shared" si="29"/>
        <v>19375</v>
      </c>
      <c r="L69" s="87" t="e">
        <f>IF(#REF!="","",I69-#REF!)</f>
        <v>#REF!</v>
      </c>
      <c r="M69" s="267"/>
      <c r="N69" s="207">
        <v>0</v>
      </c>
      <c r="O69" s="207">
        <v>0</v>
      </c>
      <c r="P69" s="208">
        <f>F69*G69*5/12</f>
        <v>3125</v>
      </c>
      <c r="Q69" s="199">
        <f t="shared" si="31"/>
        <v>3125</v>
      </c>
      <c r="R69" s="39">
        <f t="shared" si="30"/>
        <v>0.1388888888888889</v>
      </c>
      <c r="T69" s="224"/>
      <c r="U69" s="224"/>
      <c r="V69" s="224"/>
    </row>
    <row r="70" spans="1:22" ht="23.4" customHeight="1" x14ac:dyDescent="0.35">
      <c r="A70" s="4"/>
      <c r="B70" s="231" t="s">
        <v>345</v>
      </c>
      <c r="C70" s="11"/>
      <c r="D70" s="13" t="s">
        <v>71</v>
      </c>
      <c r="E70" s="8" t="s">
        <v>32</v>
      </c>
      <c r="F70" s="9">
        <v>45000</v>
      </c>
      <c r="G70" s="8">
        <v>1</v>
      </c>
      <c r="H70" s="10">
        <v>0.6</v>
      </c>
      <c r="I70" s="30">
        <f t="shared" si="27"/>
        <v>27000</v>
      </c>
      <c r="J70" s="192">
        <f t="shared" si="28"/>
        <v>8100</v>
      </c>
      <c r="K70" s="193">
        <f t="shared" si="29"/>
        <v>18900</v>
      </c>
      <c r="L70" s="87" t="e">
        <f>IF(#REF!="","",I70-#REF!)</f>
        <v>#REF!</v>
      </c>
      <c r="M70" s="267"/>
      <c r="N70" s="207">
        <v>0</v>
      </c>
      <c r="O70" s="207">
        <v>0</v>
      </c>
      <c r="P70" s="208">
        <v>8100</v>
      </c>
      <c r="Q70" s="199">
        <f>SUM(N70:P70)</f>
        <v>8100</v>
      </c>
      <c r="R70" s="39">
        <f t="shared" si="30"/>
        <v>0.3</v>
      </c>
      <c r="T70" s="224"/>
      <c r="U70" s="224"/>
      <c r="V70" s="224"/>
    </row>
    <row r="71" spans="1:22" ht="23.4" hidden="1" customHeight="1" x14ac:dyDescent="0.35">
      <c r="A71" s="4"/>
      <c r="B71" s="231" t="s">
        <v>346</v>
      </c>
      <c r="C71" s="11"/>
      <c r="D71" s="13" t="s">
        <v>72</v>
      </c>
      <c r="E71" s="8" t="s">
        <v>27</v>
      </c>
      <c r="F71" s="9">
        <v>1800</v>
      </c>
      <c r="G71" s="8">
        <v>4</v>
      </c>
      <c r="H71" s="10">
        <v>2</v>
      </c>
      <c r="I71" s="30">
        <f t="shared" si="27"/>
        <v>14400</v>
      </c>
      <c r="J71" s="192">
        <f t="shared" si="28"/>
        <v>0</v>
      </c>
      <c r="K71" s="193">
        <f t="shared" si="29"/>
        <v>14400</v>
      </c>
      <c r="L71" s="87" t="e">
        <f>IF(#REF!="","",I71-#REF!)</f>
        <v>#REF!</v>
      </c>
      <c r="M71" s="267"/>
      <c r="N71" s="207">
        <v>0</v>
      </c>
      <c r="O71" s="207">
        <v>0</v>
      </c>
      <c r="P71" s="208">
        <v>0</v>
      </c>
      <c r="Q71" s="199">
        <f t="shared" si="31"/>
        <v>0</v>
      </c>
      <c r="R71" s="39">
        <f t="shared" si="30"/>
        <v>0</v>
      </c>
      <c r="T71" s="225"/>
      <c r="U71" s="224"/>
      <c r="V71" s="224"/>
    </row>
    <row r="72" spans="1:22" ht="23.4" customHeight="1" x14ac:dyDescent="0.35">
      <c r="A72" s="4"/>
      <c r="B72" s="231" t="s">
        <v>347</v>
      </c>
      <c r="C72" s="11"/>
      <c r="D72" s="13" t="s">
        <v>73</v>
      </c>
      <c r="E72" s="8" t="s">
        <v>74</v>
      </c>
      <c r="F72" s="9">
        <v>1000</v>
      </c>
      <c r="G72" s="8">
        <v>4</v>
      </c>
      <c r="H72" s="10">
        <v>6</v>
      </c>
      <c r="I72" s="30">
        <f t="shared" si="27"/>
        <v>24000</v>
      </c>
      <c r="J72" s="192">
        <f t="shared" si="28"/>
        <v>4000</v>
      </c>
      <c r="K72" s="193">
        <f t="shared" si="29"/>
        <v>20000</v>
      </c>
      <c r="L72" s="87" t="e">
        <f>IF(#REF!="","",I72-#REF!)</f>
        <v>#REF!</v>
      </c>
      <c r="M72" s="267"/>
      <c r="N72" s="207">
        <v>0</v>
      </c>
      <c r="O72" s="207">
        <v>0</v>
      </c>
      <c r="P72" s="208">
        <f>F72*G72</f>
        <v>4000</v>
      </c>
      <c r="Q72" s="199">
        <f t="shared" si="31"/>
        <v>4000</v>
      </c>
      <c r="R72" s="39">
        <f t="shared" si="30"/>
        <v>0.16666666666666666</v>
      </c>
      <c r="T72" s="225"/>
      <c r="U72" s="224"/>
      <c r="V72" s="224"/>
    </row>
    <row r="73" spans="1:22" ht="23.4" customHeight="1" x14ac:dyDescent="0.35">
      <c r="A73" s="1"/>
      <c r="B73" s="64"/>
      <c r="C73" s="18"/>
      <c r="D73" s="25" t="s">
        <v>388</v>
      </c>
      <c r="E73" s="23"/>
      <c r="F73" s="26"/>
      <c r="G73" s="23"/>
      <c r="H73" s="29"/>
      <c r="I73" s="27">
        <f>SUM(I63:I72)</f>
        <v>230600</v>
      </c>
      <c r="J73" s="177">
        <f t="shared" si="28"/>
        <v>35291.666666666672</v>
      </c>
      <c r="K73" s="178">
        <f t="shared" si="29"/>
        <v>195308.33333333331</v>
      </c>
      <c r="L73" s="88" t="e">
        <f>IF(#REF!="","",I73-#REF!)</f>
        <v>#REF!</v>
      </c>
      <c r="M73" s="115"/>
      <c r="N73" s="209"/>
      <c r="O73" s="209"/>
      <c r="P73" s="210"/>
      <c r="Q73" s="200">
        <f>Q63+Q64+Q65+Q66+Q67+Q68+Q69+Q70+Q71+Q72</f>
        <v>35291.666666666672</v>
      </c>
      <c r="R73" s="71">
        <f t="shared" si="30"/>
        <v>0.15304278693263951</v>
      </c>
      <c r="T73" s="225"/>
      <c r="U73" s="224"/>
      <c r="V73" s="224"/>
    </row>
    <row r="74" spans="1:22" ht="23.4" customHeight="1" x14ac:dyDescent="0.35">
      <c r="A74" s="19"/>
      <c r="B74" s="64" t="s">
        <v>348</v>
      </c>
      <c r="C74" s="6"/>
      <c r="D74" s="7" t="s">
        <v>75</v>
      </c>
      <c r="E74" s="5"/>
      <c r="F74" s="20"/>
      <c r="G74" s="5"/>
      <c r="H74" s="21"/>
      <c r="I74" s="31"/>
      <c r="J74" s="192"/>
      <c r="K74" s="193"/>
      <c r="L74" s="87" t="e">
        <f>IF(#REF!="","",I74-#REF!)</f>
        <v>#REF!</v>
      </c>
      <c r="M74" s="267"/>
      <c r="N74" s="207"/>
      <c r="O74" s="207"/>
      <c r="P74" s="208"/>
      <c r="Q74" s="199"/>
      <c r="R74" s="39"/>
      <c r="T74" s="225"/>
      <c r="U74" s="224"/>
      <c r="V74" s="224"/>
    </row>
    <row r="75" spans="1:22" ht="23.4" customHeight="1" x14ac:dyDescent="0.35">
      <c r="A75" s="4"/>
      <c r="B75" s="231"/>
      <c r="C75" s="11"/>
      <c r="D75" s="13" t="s">
        <v>301</v>
      </c>
      <c r="E75" s="8"/>
      <c r="F75" s="9"/>
      <c r="G75" s="8"/>
      <c r="H75" s="10"/>
      <c r="I75" s="30"/>
      <c r="J75" s="192"/>
      <c r="K75" s="193"/>
      <c r="L75" s="87" t="e">
        <f>IF(#REF!="","",I75-#REF!)</f>
        <v>#REF!</v>
      </c>
      <c r="M75" s="267"/>
      <c r="N75" s="207"/>
      <c r="O75" s="207"/>
      <c r="P75" s="208"/>
      <c r="Q75" s="199"/>
      <c r="R75" s="39"/>
      <c r="T75" s="225"/>
      <c r="U75" s="224"/>
      <c r="V75" s="224"/>
    </row>
    <row r="76" spans="1:22" s="43" customFormat="1" ht="23.4" customHeight="1" x14ac:dyDescent="0.35">
      <c r="A76" s="4"/>
      <c r="B76" s="231" t="s">
        <v>349</v>
      </c>
      <c r="C76" s="11" t="s">
        <v>76</v>
      </c>
      <c r="D76" s="13" t="s">
        <v>77</v>
      </c>
      <c r="E76" s="8" t="s">
        <v>78</v>
      </c>
      <c r="F76" s="9">
        <v>400</v>
      </c>
      <c r="G76" s="8">
        <v>500</v>
      </c>
      <c r="H76" s="10">
        <v>3</v>
      </c>
      <c r="I76" s="30">
        <f t="shared" ref="I76:I82" si="32">F76*G76*H76</f>
        <v>600000</v>
      </c>
      <c r="J76" s="192">
        <f t="shared" ref="J76:J81" si="33">Q76</f>
        <v>60000</v>
      </c>
      <c r="K76" s="193">
        <f>I76-J76</f>
        <v>540000</v>
      </c>
      <c r="L76" s="90" t="e">
        <f>IF(#REF!="","",I76-#REF!)</f>
        <v>#REF!</v>
      </c>
      <c r="M76" s="254" t="s">
        <v>395</v>
      </c>
      <c r="N76" s="215">
        <v>0</v>
      </c>
      <c r="O76" s="215">
        <v>0</v>
      </c>
      <c r="P76" s="251">
        <v>60000</v>
      </c>
      <c r="Q76" s="252">
        <f>SUM(N76:P76)</f>
        <v>60000</v>
      </c>
      <c r="R76" s="45">
        <f>Q76/I76</f>
        <v>0.1</v>
      </c>
      <c r="T76" s="225"/>
      <c r="U76" s="225"/>
      <c r="V76" s="225"/>
    </row>
    <row r="77" spans="1:22" s="43" customFormat="1" ht="23.4" customHeight="1" x14ac:dyDescent="0.35">
      <c r="A77" s="4"/>
      <c r="B77" s="231" t="s">
        <v>350</v>
      </c>
      <c r="C77" s="11" t="s">
        <v>76</v>
      </c>
      <c r="D77" s="13" t="s">
        <v>79</v>
      </c>
      <c r="E77" s="8" t="s">
        <v>27</v>
      </c>
      <c r="F77" s="9">
        <v>25000</v>
      </c>
      <c r="G77" s="8">
        <v>40</v>
      </c>
      <c r="H77" s="10">
        <v>1</v>
      </c>
      <c r="I77" s="30">
        <f t="shared" si="32"/>
        <v>1000000</v>
      </c>
      <c r="J77" s="192">
        <f t="shared" si="33"/>
        <v>50000</v>
      </c>
      <c r="K77" s="193">
        <f>I77-J77</f>
        <v>950000</v>
      </c>
      <c r="L77" s="90" t="e">
        <f>IF(#REF!="","",I77-#REF!)</f>
        <v>#REF!</v>
      </c>
      <c r="M77" s="119" t="s">
        <v>304</v>
      </c>
      <c r="N77" s="215">
        <v>0</v>
      </c>
      <c r="O77" s="215">
        <v>0</v>
      </c>
      <c r="P77" s="251">
        <v>50000</v>
      </c>
      <c r="Q77" s="252">
        <f t="shared" ref="Q77:Q81" si="34">SUM(N77:P77)</f>
        <v>50000</v>
      </c>
      <c r="R77" s="45">
        <f>Q77/I77</f>
        <v>0.05</v>
      </c>
      <c r="T77" s="225"/>
      <c r="U77" s="225"/>
      <c r="V77" s="225"/>
    </row>
    <row r="78" spans="1:22" ht="23.4" hidden="1" customHeight="1" x14ac:dyDescent="0.35">
      <c r="A78" s="4"/>
      <c r="B78" s="231" t="s">
        <v>351</v>
      </c>
      <c r="C78" s="11" t="s">
        <v>76</v>
      </c>
      <c r="D78" s="13" t="s">
        <v>122</v>
      </c>
      <c r="E78" s="8" t="s">
        <v>27</v>
      </c>
      <c r="F78" s="9">
        <v>10000</v>
      </c>
      <c r="G78" s="8">
        <v>4</v>
      </c>
      <c r="H78" s="10">
        <v>4</v>
      </c>
      <c r="I78" s="30">
        <f t="shared" si="32"/>
        <v>160000</v>
      </c>
      <c r="J78" s="192">
        <f t="shared" si="33"/>
        <v>0</v>
      </c>
      <c r="K78" s="193">
        <f>I78-J78</f>
        <v>160000</v>
      </c>
      <c r="L78" s="87" t="e">
        <f>IF(#REF!="","",I78-#REF!)</f>
        <v>#REF!</v>
      </c>
      <c r="M78" s="119"/>
      <c r="N78" s="207">
        <v>0</v>
      </c>
      <c r="O78" s="207">
        <v>0</v>
      </c>
      <c r="P78" s="208">
        <v>0</v>
      </c>
      <c r="Q78" s="199">
        <f t="shared" si="34"/>
        <v>0</v>
      </c>
      <c r="R78" s="39">
        <f>Q78/I78</f>
        <v>0</v>
      </c>
      <c r="T78" s="225"/>
      <c r="U78" s="224"/>
      <c r="V78" s="224"/>
    </row>
    <row r="79" spans="1:22" ht="23.4" customHeight="1" x14ac:dyDescent="0.35">
      <c r="A79" s="4"/>
      <c r="B79" s="231"/>
      <c r="C79" s="11"/>
      <c r="D79" s="7" t="s">
        <v>302</v>
      </c>
      <c r="E79" s="8"/>
      <c r="F79" s="9"/>
      <c r="G79" s="8"/>
      <c r="H79" s="10"/>
      <c r="I79" s="30"/>
      <c r="J79" s="192"/>
      <c r="K79" s="193"/>
      <c r="L79" s="87"/>
      <c r="M79" s="119"/>
      <c r="N79" s="207"/>
      <c r="O79" s="207"/>
      <c r="P79" s="208"/>
      <c r="Q79" s="199"/>
      <c r="R79" s="39"/>
      <c r="T79" s="225"/>
      <c r="U79" s="224"/>
      <c r="V79" s="224"/>
    </row>
    <row r="80" spans="1:22" ht="23.4" hidden="1" customHeight="1" x14ac:dyDescent="0.35">
      <c r="A80" s="4"/>
      <c r="B80" s="231" t="s">
        <v>352</v>
      </c>
      <c r="C80" s="11" t="s">
        <v>76</v>
      </c>
      <c r="D80" s="13" t="s">
        <v>80</v>
      </c>
      <c r="E80" s="8" t="s">
        <v>78</v>
      </c>
      <c r="F80" s="9">
        <v>400</v>
      </c>
      <c r="G80" s="8">
        <v>200</v>
      </c>
      <c r="H80" s="10">
        <v>3</v>
      </c>
      <c r="I80" s="30">
        <f t="shared" si="32"/>
        <v>240000</v>
      </c>
      <c r="J80" s="192">
        <f>Q80</f>
        <v>0</v>
      </c>
      <c r="K80" s="193">
        <f>I80-J80</f>
        <v>240000</v>
      </c>
      <c r="L80" s="87" t="e">
        <f>IF(#REF!="","",I80-#REF!)</f>
        <v>#REF!</v>
      </c>
      <c r="M80" s="120"/>
      <c r="N80" s="207">
        <v>0</v>
      </c>
      <c r="O80" s="207">
        <v>0</v>
      </c>
      <c r="P80" s="208">
        <v>0</v>
      </c>
      <c r="Q80" s="199">
        <f t="shared" si="34"/>
        <v>0</v>
      </c>
      <c r="R80" s="39">
        <f>Q80/I80</f>
        <v>0</v>
      </c>
      <c r="T80" s="225"/>
      <c r="U80" s="224"/>
      <c r="V80" s="224"/>
    </row>
    <row r="81" spans="1:28" s="43" customFormat="1" ht="23.4" hidden="1" customHeight="1" x14ac:dyDescent="0.35">
      <c r="A81" s="4"/>
      <c r="B81" s="231" t="s">
        <v>353</v>
      </c>
      <c r="C81" s="11" t="s">
        <v>76</v>
      </c>
      <c r="D81" s="13" t="s">
        <v>121</v>
      </c>
      <c r="E81" s="8" t="s">
        <v>32</v>
      </c>
      <c r="F81" s="9">
        <v>508788</v>
      </c>
      <c r="G81" s="8">
        <v>1</v>
      </c>
      <c r="H81" s="10">
        <v>1</v>
      </c>
      <c r="I81" s="30">
        <f t="shared" si="32"/>
        <v>508788</v>
      </c>
      <c r="J81" s="192">
        <f t="shared" si="33"/>
        <v>0</v>
      </c>
      <c r="K81" s="193">
        <f>I81-J81</f>
        <v>508788</v>
      </c>
      <c r="L81" s="90" t="e">
        <f>IF(#REF!="","",I81-#REF!)</f>
        <v>#REF!</v>
      </c>
      <c r="M81" s="119"/>
      <c r="N81" s="215">
        <v>0</v>
      </c>
      <c r="O81" s="215">
        <v>0</v>
      </c>
      <c r="P81" s="251">
        <v>0</v>
      </c>
      <c r="Q81" s="252">
        <f t="shared" si="34"/>
        <v>0</v>
      </c>
      <c r="R81" s="45">
        <f>Q81/I81</f>
        <v>0</v>
      </c>
      <c r="T81" s="225"/>
      <c r="U81" s="225"/>
      <c r="V81" s="225"/>
    </row>
    <row r="82" spans="1:28" s="43" customFormat="1" ht="23.4" customHeight="1" x14ac:dyDescent="0.35">
      <c r="A82" s="4"/>
      <c r="B82" s="231" t="s">
        <v>354</v>
      </c>
      <c r="C82" s="11" t="s">
        <v>76</v>
      </c>
      <c r="D82" s="13" t="s">
        <v>81</v>
      </c>
      <c r="E82" s="8" t="s">
        <v>32</v>
      </c>
      <c r="F82" s="9">
        <v>500000</v>
      </c>
      <c r="G82" s="8">
        <v>1</v>
      </c>
      <c r="H82" s="10">
        <v>1</v>
      </c>
      <c r="I82" s="30">
        <f t="shared" si="32"/>
        <v>500000</v>
      </c>
      <c r="J82" s="192">
        <f>Q82</f>
        <v>20000</v>
      </c>
      <c r="K82" s="193">
        <f>I82-J82</f>
        <v>480000</v>
      </c>
      <c r="L82" s="90" t="e">
        <f>IF(#REF!="","",I82-#REF!)</f>
        <v>#REF!</v>
      </c>
      <c r="M82" s="119" t="s">
        <v>303</v>
      </c>
      <c r="N82" s="215">
        <v>0</v>
      </c>
      <c r="O82" s="207">
        <v>0</v>
      </c>
      <c r="P82" s="208">
        <v>20000</v>
      </c>
      <c r="Q82" s="199">
        <f>SUM(N82:P82)</f>
        <v>20000</v>
      </c>
      <c r="R82" s="45">
        <f>Q82/I82</f>
        <v>0.04</v>
      </c>
      <c r="T82" s="225"/>
      <c r="U82" s="224"/>
      <c r="V82" s="224"/>
      <c r="W82" s="42"/>
      <c r="X82" s="42"/>
      <c r="Y82" s="42"/>
      <c r="Z82" s="42"/>
      <c r="AA82" s="42"/>
      <c r="AB82" s="42"/>
    </row>
    <row r="83" spans="1:28" ht="23.4" customHeight="1" x14ac:dyDescent="0.35">
      <c r="A83" s="1"/>
      <c r="B83" s="64"/>
      <c r="C83" s="18"/>
      <c r="D83" s="25" t="s">
        <v>387</v>
      </c>
      <c r="E83" s="23"/>
      <c r="F83" s="26"/>
      <c r="G83" s="23"/>
      <c r="H83" s="29"/>
      <c r="I83" s="27">
        <f>SUM(I76:I82)</f>
        <v>3008788</v>
      </c>
      <c r="J83" s="177">
        <f t="shared" ref="J83" si="35">Q83</f>
        <v>130000</v>
      </c>
      <c r="K83" s="178">
        <f>I83-J83</f>
        <v>2878788</v>
      </c>
      <c r="L83" s="88" t="e">
        <f>IF(#REF!="","",I83-#REF!)</f>
        <v>#REF!</v>
      </c>
      <c r="M83" s="115"/>
      <c r="N83" s="209"/>
      <c r="O83" s="209"/>
      <c r="P83" s="210"/>
      <c r="Q83" s="200">
        <f>Q76+Q77+Q78+Q79+Q80+Q81+Q82</f>
        <v>130000</v>
      </c>
      <c r="R83" s="56">
        <f>Q83/I83</f>
        <v>4.3206766312548439E-2</v>
      </c>
      <c r="T83" s="225"/>
      <c r="U83" s="224"/>
      <c r="V83" s="224"/>
    </row>
    <row r="84" spans="1:28" ht="23.4" customHeight="1" x14ac:dyDescent="0.35">
      <c r="A84" s="19"/>
      <c r="B84" s="64" t="s">
        <v>355</v>
      </c>
      <c r="C84" s="6"/>
      <c r="D84" s="7" t="s">
        <v>83</v>
      </c>
      <c r="E84" s="5"/>
      <c r="F84" s="20"/>
      <c r="G84" s="5"/>
      <c r="H84" s="21"/>
      <c r="I84" s="31"/>
      <c r="J84" s="192"/>
      <c r="K84" s="193"/>
      <c r="L84" s="87" t="e">
        <f>IF(#REF!="","",I84-#REF!)</f>
        <v>#REF!</v>
      </c>
      <c r="M84" s="267"/>
      <c r="N84" s="207"/>
      <c r="O84" s="207"/>
      <c r="P84" s="208"/>
      <c r="Q84" s="199"/>
      <c r="R84" s="39"/>
      <c r="T84" s="225"/>
      <c r="U84" s="224"/>
      <c r="V84" s="224"/>
    </row>
    <row r="85" spans="1:28" ht="23.4" customHeight="1" x14ac:dyDescent="0.35">
      <c r="A85" s="4"/>
      <c r="B85" s="231" t="s">
        <v>356</v>
      </c>
      <c r="C85" s="11" t="s">
        <v>84</v>
      </c>
      <c r="D85" s="13" t="s">
        <v>85</v>
      </c>
      <c r="E85" s="8" t="s">
        <v>86</v>
      </c>
      <c r="F85" s="9">
        <v>1500</v>
      </c>
      <c r="G85" s="8">
        <v>600</v>
      </c>
      <c r="H85" s="10">
        <v>1</v>
      </c>
      <c r="I85" s="30">
        <f>F85*G85*H85</f>
        <v>900000</v>
      </c>
      <c r="J85" s="192">
        <f t="shared" ref="J85:J87" si="36">Q85</f>
        <v>90000</v>
      </c>
      <c r="K85" s="193">
        <f>I85-J85</f>
        <v>810000</v>
      </c>
      <c r="L85" s="87" t="e">
        <f>IF(#REF!="","",I85-#REF!)</f>
        <v>#REF!</v>
      </c>
      <c r="M85" s="267"/>
      <c r="N85" s="207">
        <v>0</v>
      </c>
      <c r="O85" s="207">
        <v>0</v>
      </c>
      <c r="P85" s="208">
        <f>10%*I85</f>
        <v>90000</v>
      </c>
      <c r="Q85" s="199">
        <f>SUM(N85:P85)</f>
        <v>90000</v>
      </c>
      <c r="R85" s="39">
        <f>Q85/I85</f>
        <v>0.1</v>
      </c>
      <c r="T85" s="225"/>
      <c r="U85" s="224"/>
      <c r="V85" s="224"/>
    </row>
    <row r="86" spans="1:28" ht="23.4" hidden="1" customHeight="1" x14ac:dyDescent="0.35">
      <c r="A86" s="4"/>
      <c r="B86" s="231" t="s">
        <v>357</v>
      </c>
      <c r="C86" s="11" t="s">
        <v>84</v>
      </c>
      <c r="D86" s="13" t="s">
        <v>87</v>
      </c>
      <c r="E86" s="8" t="s">
        <v>88</v>
      </c>
      <c r="F86" s="9">
        <v>500</v>
      </c>
      <c r="G86" s="8">
        <v>600</v>
      </c>
      <c r="H86" s="10">
        <v>1</v>
      </c>
      <c r="I86" s="30">
        <f>F86*G86*H86</f>
        <v>300000</v>
      </c>
      <c r="J86" s="192">
        <f t="shared" si="36"/>
        <v>0</v>
      </c>
      <c r="K86" s="193">
        <f>I86-J86</f>
        <v>300000</v>
      </c>
      <c r="L86" s="87" t="e">
        <f>IF(#REF!="","",I86-#REF!)</f>
        <v>#REF!</v>
      </c>
      <c r="M86" s="267"/>
      <c r="N86" s="207">
        <v>0</v>
      </c>
      <c r="O86" s="207">
        <v>0</v>
      </c>
      <c r="P86" s="208">
        <v>0</v>
      </c>
      <c r="Q86" s="199">
        <f t="shared" ref="Q86:Q87" si="37">SUM(N86:P86)</f>
        <v>0</v>
      </c>
      <c r="R86" s="39">
        <f>Q86/I86</f>
        <v>0</v>
      </c>
      <c r="T86" s="225"/>
      <c r="U86" s="224"/>
      <c r="V86" s="224"/>
    </row>
    <row r="87" spans="1:28" ht="23.4" hidden="1" customHeight="1" x14ac:dyDescent="0.35">
      <c r="A87" s="4"/>
      <c r="B87" s="231" t="s">
        <v>358</v>
      </c>
      <c r="C87" s="11" t="s">
        <v>84</v>
      </c>
      <c r="D87" s="13" t="s">
        <v>89</v>
      </c>
      <c r="E87" s="8" t="s">
        <v>90</v>
      </c>
      <c r="F87" s="9">
        <v>50</v>
      </c>
      <c r="G87" s="8">
        <v>1</v>
      </c>
      <c r="H87" s="10">
        <v>600</v>
      </c>
      <c r="I87" s="30">
        <f>F87*G87*H87</f>
        <v>30000</v>
      </c>
      <c r="J87" s="192">
        <f t="shared" si="36"/>
        <v>0</v>
      </c>
      <c r="K87" s="193">
        <f>I87-J87</f>
        <v>30000</v>
      </c>
      <c r="L87" s="87" t="e">
        <f>IF(#REF!="","",I87-#REF!)</f>
        <v>#REF!</v>
      </c>
      <c r="M87" s="267"/>
      <c r="N87" s="207">
        <v>0</v>
      </c>
      <c r="O87" s="207">
        <v>0</v>
      </c>
      <c r="P87" s="208">
        <v>0</v>
      </c>
      <c r="Q87" s="199">
        <f t="shared" si="37"/>
        <v>0</v>
      </c>
      <c r="R87" s="39">
        <f>Q87/I87</f>
        <v>0</v>
      </c>
      <c r="T87" s="224"/>
      <c r="U87" s="224"/>
      <c r="V87" s="224"/>
    </row>
    <row r="88" spans="1:28" ht="23.4" customHeight="1" x14ac:dyDescent="0.35">
      <c r="A88" s="1"/>
      <c r="B88" s="64"/>
      <c r="C88" s="18"/>
      <c r="D88" s="25" t="s">
        <v>386</v>
      </c>
      <c r="E88" s="23"/>
      <c r="F88" s="26"/>
      <c r="G88" s="23"/>
      <c r="H88" s="29"/>
      <c r="I88" s="27">
        <f>SUM(I85:I87)</f>
        <v>1230000</v>
      </c>
      <c r="J88" s="177">
        <f t="shared" ref="J88" si="38">SUM(J85:J87)</f>
        <v>90000</v>
      </c>
      <c r="K88" s="178">
        <f>SUM(K85:K87)</f>
        <v>1140000</v>
      </c>
      <c r="L88" s="88" t="e">
        <f>IF(#REF!="","",I88-#REF!)</f>
        <v>#REF!</v>
      </c>
      <c r="M88" s="115"/>
      <c r="N88" s="209"/>
      <c r="O88" s="209"/>
      <c r="P88" s="210"/>
      <c r="Q88" s="200">
        <f>Q85+Q86+Q87</f>
        <v>90000</v>
      </c>
      <c r="R88" s="56">
        <f>Q88/I88</f>
        <v>7.3170731707317069E-2</v>
      </c>
      <c r="T88" s="224"/>
      <c r="U88" s="224"/>
      <c r="V88" s="224"/>
    </row>
    <row r="89" spans="1:28" ht="23.4" customHeight="1" x14ac:dyDescent="0.35">
      <c r="A89" s="19"/>
      <c r="B89" s="64" t="s">
        <v>359</v>
      </c>
      <c r="C89" s="6"/>
      <c r="D89" s="7" t="s">
        <v>92</v>
      </c>
      <c r="E89" s="5"/>
      <c r="F89" s="20"/>
      <c r="G89" s="5"/>
      <c r="H89" s="21"/>
      <c r="I89" s="31"/>
      <c r="J89" s="192"/>
      <c r="K89" s="193"/>
      <c r="L89" s="87" t="e">
        <f>IF(#REF!="","",I89-#REF!)</f>
        <v>#REF!</v>
      </c>
      <c r="M89" s="267"/>
      <c r="N89" s="207"/>
      <c r="O89" s="207"/>
      <c r="P89" s="208"/>
      <c r="Q89" s="199"/>
      <c r="R89" s="39"/>
      <c r="T89" s="224"/>
      <c r="U89" s="224"/>
      <c r="V89" s="224"/>
    </row>
    <row r="90" spans="1:28" ht="23.4" customHeight="1" x14ac:dyDescent="0.35">
      <c r="A90" s="4"/>
      <c r="B90" s="231" t="s">
        <v>360</v>
      </c>
      <c r="C90" s="11" t="s">
        <v>84</v>
      </c>
      <c r="D90" s="13" t="s">
        <v>124</v>
      </c>
      <c r="E90" s="8" t="s">
        <v>68</v>
      </c>
      <c r="F90" s="9">
        <v>5000</v>
      </c>
      <c r="G90" s="8">
        <v>12</v>
      </c>
      <c r="H90" s="10">
        <v>3</v>
      </c>
      <c r="I90" s="30">
        <f t="shared" ref="I90:I97" si="39">F90*G90*H90</f>
        <v>180000</v>
      </c>
      <c r="J90" s="192">
        <f t="shared" ref="J90:J98" si="40">Q90</f>
        <v>15000</v>
      </c>
      <c r="K90" s="193">
        <f t="shared" ref="K90:K98" si="41">I90-J90</f>
        <v>165000</v>
      </c>
      <c r="L90" s="87" t="e">
        <f>IF(#REF!="","",I90-#REF!)</f>
        <v>#REF!</v>
      </c>
      <c r="M90" s="267"/>
      <c r="N90" s="207">
        <v>0</v>
      </c>
      <c r="O90" s="215">
        <v>0</v>
      </c>
      <c r="P90" s="251">
        <f>F90*P3</f>
        <v>15000</v>
      </c>
      <c r="Q90" s="199">
        <f t="shared" ref="Q90:Q97" si="42">SUM(N90:P90)</f>
        <v>15000</v>
      </c>
      <c r="R90" s="39">
        <f t="shared" ref="R90:R98" si="43">Q90/I90</f>
        <v>8.3333333333333329E-2</v>
      </c>
      <c r="T90" s="224"/>
      <c r="U90" s="224"/>
      <c r="V90" s="224"/>
    </row>
    <row r="91" spans="1:28" ht="23.4" customHeight="1" x14ac:dyDescent="0.35">
      <c r="A91" s="4"/>
      <c r="B91" s="231" t="s">
        <v>361</v>
      </c>
      <c r="C91" s="11" t="s">
        <v>84</v>
      </c>
      <c r="D91" s="13" t="s">
        <v>93</v>
      </c>
      <c r="E91" s="8" t="s">
        <v>94</v>
      </c>
      <c r="F91" s="9">
        <v>600</v>
      </c>
      <c r="G91" s="8">
        <v>600</v>
      </c>
      <c r="H91" s="10">
        <v>1</v>
      </c>
      <c r="I91" s="30">
        <f t="shared" si="39"/>
        <v>360000</v>
      </c>
      <c r="J91" s="192">
        <f t="shared" si="40"/>
        <v>40000</v>
      </c>
      <c r="K91" s="193">
        <f t="shared" si="41"/>
        <v>320000</v>
      </c>
      <c r="L91" s="87" t="e">
        <f>IF(#REF!="","",I91-#REF!)</f>
        <v>#REF!</v>
      </c>
      <c r="M91" s="267"/>
      <c r="N91" s="207">
        <v>0</v>
      </c>
      <c r="O91" s="215">
        <v>20000</v>
      </c>
      <c r="P91" s="251">
        <v>20000</v>
      </c>
      <c r="Q91" s="199">
        <f t="shared" si="42"/>
        <v>40000</v>
      </c>
      <c r="R91" s="39">
        <f t="shared" si="43"/>
        <v>0.1111111111111111</v>
      </c>
      <c r="T91" s="224"/>
      <c r="U91" s="224"/>
      <c r="V91" s="224"/>
    </row>
    <row r="92" spans="1:28" ht="23.4" hidden="1" customHeight="1" x14ac:dyDescent="0.35">
      <c r="A92" s="4"/>
      <c r="B92" s="231" t="s">
        <v>362</v>
      </c>
      <c r="C92" s="11" t="s">
        <v>84</v>
      </c>
      <c r="D92" s="13" t="s">
        <v>95</v>
      </c>
      <c r="E92" s="8" t="s">
        <v>86</v>
      </c>
      <c r="F92" s="9">
        <v>1800</v>
      </c>
      <c r="G92" s="8">
        <v>600</v>
      </c>
      <c r="H92" s="10">
        <v>0.6</v>
      </c>
      <c r="I92" s="30">
        <f t="shared" si="39"/>
        <v>648000</v>
      </c>
      <c r="J92" s="192">
        <f t="shared" si="40"/>
        <v>0</v>
      </c>
      <c r="K92" s="193">
        <f t="shared" si="41"/>
        <v>648000</v>
      </c>
      <c r="L92" s="87" t="e">
        <f>IF(#REF!="","",I92-#REF!)</f>
        <v>#REF!</v>
      </c>
      <c r="M92" s="267"/>
      <c r="N92" s="207">
        <v>0</v>
      </c>
      <c r="O92" s="207">
        <v>0</v>
      </c>
      <c r="P92" s="208">
        <v>0</v>
      </c>
      <c r="Q92" s="199">
        <f t="shared" si="42"/>
        <v>0</v>
      </c>
      <c r="R92" s="39">
        <f t="shared" si="43"/>
        <v>0</v>
      </c>
      <c r="T92" s="224"/>
      <c r="U92" s="224"/>
      <c r="V92" s="224"/>
    </row>
    <row r="93" spans="1:28" ht="23.4" hidden="1" customHeight="1" x14ac:dyDescent="0.35">
      <c r="A93" s="4"/>
      <c r="B93" s="231" t="s">
        <v>363</v>
      </c>
      <c r="C93" s="11" t="s">
        <v>84</v>
      </c>
      <c r="D93" s="13" t="s">
        <v>96</v>
      </c>
      <c r="E93" s="8" t="s">
        <v>86</v>
      </c>
      <c r="F93" s="9">
        <v>220</v>
      </c>
      <c r="G93" s="8">
        <v>600</v>
      </c>
      <c r="H93" s="10">
        <v>0.6</v>
      </c>
      <c r="I93" s="30">
        <f t="shared" si="39"/>
        <v>79200</v>
      </c>
      <c r="J93" s="192">
        <f t="shared" si="40"/>
        <v>0</v>
      </c>
      <c r="K93" s="193">
        <f t="shared" si="41"/>
        <v>79200</v>
      </c>
      <c r="L93" s="87" t="e">
        <f>IF(#REF!="","",I93-#REF!)</f>
        <v>#REF!</v>
      </c>
      <c r="M93" s="267"/>
      <c r="N93" s="207">
        <v>0</v>
      </c>
      <c r="O93" s="207">
        <v>0</v>
      </c>
      <c r="P93" s="208">
        <v>0</v>
      </c>
      <c r="Q93" s="199">
        <f t="shared" si="42"/>
        <v>0</v>
      </c>
      <c r="R93" s="39">
        <f t="shared" si="43"/>
        <v>0</v>
      </c>
      <c r="T93" s="224"/>
      <c r="U93" s="224"/>
      <c r="V93" s="224"/>
    </row>
    <row r="94" spans="1:28" ht="23.4" hidden="1" customHeight="1" x14ac:dyDescent="0.35">
      <c r="A94" s="4"/>
      <c r="B94" s="231" t="s">
        <v>364</v>
      </c>
      <c r="C94" s="11" t="s">
        <v>84</v>
      </c>
      <c r="D94" s="13" t="s">
        <v>97</v>
      </c>
      <c r="E94" s="8" t="s">
        <v>98</v>
      </c>
      <c r="F94" s="9">
        <v>3</v>
      </c>
      <c r="G94" s="8">
        <v>25</v>
      </c>
      <c r="H94" s="10">
        <v>360</v>
      </c>
      <c r="I94" s="30">
        <f t="shared" si="39"/>
        <v>27000</v>
      </c>
      <c r="J94" s="192">
        <f t="shared" si="40"/>
        <v>0</v>
      </c>
      <c r="K94" s="193">
        <f t="shared" si="41"/>
        <v>27000</v>
      </c>
      <c r="L94" s="87" t="e">
        <f>IF(#REF!="","",I94-#REF!)</f>
        <v>#REF!</v>
      </c>
      <c r="M94" s="267"/>
      <c r="N94" s="207">
        <v>0</v>
      </c>
      <c r="O94" s="207">
        <v>0</v>
      </c>
      <c r="P94" s="208">
        <v>0</v>
      </c>
      <c r="Q94" s="199">
        <f t="shared" si="42"/>
        <v>0</v>
      </c>
      <c r="R94" s="39">
        <f t="shared" si="43"/>
        <v>0</v>
      </c>
      <c r="T94" s="224"/>
      <c r="U94" s="224"/>
      <c r="V94" s="224"/>
    </row>
    <row r="95" spans="1:28" ht="23.4" hidden="1" customHeight="1" x14ac:dyDescent="0.35">
      <c r="A95" s="4"/>
      <c r="B95" s="231" t="s">
        <v>365</v>
      </c>
      <c r="C95" s="11" t="s">
        <v>84</v>
      </c>
      <c r="D95" s="13" t="s">
        <v>99</v>
      </c>
      <c r="E95" s="8" t="s">
        <v>32</v>
      </c>
      <c r="F95" s="9">
        <v>25000</v>
      </c>
      <c r="G95" s="8">
        <v>4</v>
      </c>
      <c r="H95" s="10">
        <v>2</v>
      </c>
      <c r="I95" s="30">
        <f t="shared" si="39"/>
        <v>200000</v>
      </c>
      <c r="J95" s="192">
        <f t="shared" si="40"/>
        <v>0</v>
      </c>
      <c r="K95" s="193">
        <f t="shared" si="41"/>
        <v>200000</v>
      </c>
      <c r="L95" s="87" t="e">
        <f>IF(#REF!="","",I95-#REF!)</f>
        <v>#REF!</v>
      </c>
      <c r="M95" s="267"/>
      <c r="N95" s="207">
        <v>0</v>
      </c>
      <c r="O95" s="207">
        <v>0</v>
      </c>
      <c r="P95" s="208">
        <v>0</v>
      </c>
      <c r="Q95" s="199">
        <f t="shared" si="42"/>
        <v>0</v>
      </c>
      <c r="R95" s="39">
        <f t="shared" si="43"/>
        <v>0</v>
      </c>
      <c r="T95" s="224"/>
      <c r="U95" s="224"/>
      <c r="V95" s="224"/>
    </row>
    <row r="96" spans="1:28" ht="23.4" hidden="1" customHeight="1" x14ac:dyDescent="0.35">
      <c r="A96" s="4"/>
      <c r="B96" s="231" t="s">
        <v>366</v>
      </c>
      <c r="C96" s="11" t="s">
        <v>84</v>
      </c>
      <c r="D96" s="13" t="s">
        <v>100</v>
      </c>
      <c r="E96" s="8" t="s">
        <v>74</v>
      </c>
      <c r="F96" s="9">
        <v>2500</v>
      </c>
      <c r="G96" s="8">
        <v>4</v>
      </c>
      <c r="H96" s="10">
        <v>2</v>
      </c>
      <c r="I96" s="30">
        <f t="shared" si="39"/>
        <v>20000</v>
      </c>
      <c r="J96" s="192">
        <f t="shared" si="40"/>
        <v>0</v>
      </c>
      <c r="K96" s="193">
        <f t="shared" si="41"/>
        <v>20000</v>
      </c>
      <c r="L96" s="87" t="e">
        <f>IF(#REF!="","",I96-#REF!)</f>
        <v>#REF!</v>
      </c>
      <c r="M96" s="267"/>
      <c r="N96" s="207">
        <v>0</v>
      </c>
      <c r="O96" s="207">
        <v>0</v>
      </c>
      <c r="P96" s="208">
        <v>0</v>
      </c>
      <c r="Q96" s="199">
        <f t="shared" si="42"/>
        <v>0</v>
      </c>
      <c r="R96" s="39">
        <f t="shared" si="43"/>
        <v>0</v>
      </c>
      <c r="T96" s="224"/>
      <c r="U96" s="224"/>
      <c r="V96" s="224"/>
    </row>
    <row r="97" spans="1:22" ht="23.4" hidden="1" customHeight="1" x14ac:dyDescent="0.35">
      <c r="A97" s="4"/>
      <c r="B97" s="231" t="s">
        <v>367</v>
      </c>
      <c r="C97" s="11" t="s">
        <v>84</v>
      </c>
      <c r="D97" s="13" t="s">
        <v>101</v>
      </c>
      <c r="E97" s="8" t="s">
        <v>32</v>
      </c>
      <c r="F97" s="9">
        <v>500000</v>
      </c>
      <c r="G97" s="8">
        <v>1</v>
      </c>
      <c r="H97" s="10">
        <v>0.6</v>
      </c>
      <c r="I97" s="30">
        <f t="shared" si="39"/>
        <v>300000</v>
      </c>
      <c r="J97" s="192">
        <f t="shared" si="40"/>
        <v>0</v>
      </c>
      <c r="K97" s="193">
        <f t="shared" si="41"/>
        <v>300000</v>
      </c>
      <c r="L97" s="87" t="e">
        <f>IF(#REF!="","",I97-#REF!)</f>
        <v>#REF!</v>
      </c>
      <c r="M97" s="267"/>
      <c r="N97" s="207">
        <v>0</v>
      </c>
      <c r="O97" s="207">
        <v>0</v>
      </c>
      <c r="P97" s="208">
        <v>0</v>
      </c>
      <c r="Q97" s="199">
        <f t="shared" si="42"/>
        <v>0</v>
      </c>
      <c r="R97" s="39">
        <f t="shared" si="43"/>
        <v>0</v>
      </c>
      <c r="T97" s="224"/>
      <c r="U97" s="224"/>
      <c r="V97" s="224"/>
    </row>
    <row r="98" spans="1:22" ht="23.4" customHeight="1" x14ac:dyDescent="0.35">
      <c r="A98" s="1"/>
      <c r="B98" s="64"/>
      <c r="C98" s="18"/>
      <c r="D98" s="25" t="s">
        <v>385</v>
      </c>
      <c r="E98" s="23"/>
      <c r="F98" s="26"/>
      <c r="G98" s="23"/>
      <c r="H98" s="29"/>
      <c r="I98" s="27">
        <f>SUM(I90:I97)</f>
        <v>1814200</v>
      </c>
      <c r="J98" s="177">
        <f t="shared" si="40"/>
        <v>55000</v>
      </c>
      <c r="K98" s="178">
        <f t="shared" si="41"/>
        <v>1759200</v>
      </c>
      <c r="L98" s="88" t="e">
        <f>IF(#REF!="","",I98-#REF!)</f>
        <v>#REF!</v>
      </c>
      <c r="M98" s="115"/>
      <c r="N98" s="209"/>
      <c r="O98" s="209"/>
      <c r="P98" s="210"/>
      <c r="Q98" s="200">
        <f>Q90+Q91+Q92+Q93+Q94+Q95+Q96+Q97</f>
        <v>55000</v>
      </c>
      <c r="R98" s="56">
        <f t="shared" si="43"/>
        <v>3.0316392900451988E-2</v>
      </c>
      <c r="T98" s="224"/>
      <c r="U98" s="224"/>
      <c r="V98" s="224"/>
    </row>
    <row r="99" spans="1:22" ht="23.4" customHeight="1" x14ac:dyDescent="0.35">
      <c r="A99" s="19"/>
      <c r="B99" s="64" t="s">
        <v>368</v>
      </c>
      <c r="C99" s="6"/>
      <c r="D99" s="7" t="s">
        <v>103</v>
      </c>
      <c r="E99" s="5"/>
      <c r="F99" s="20"/>
      <c r="G99" s="5"/>
      <c r="H99" s="21"/>
      <c r="I99" s="31"/>
      <c r="J99" s="192"/>
      <c r="K99" s="193"/>
      <c r="L99" s="87" t="e">
        <f>IF(#REF!="","",I99-#REF!)</f>
        <v>#REF!</v>
      </c>
      <c r="M99" s="267"/>
      <c r="N99" s="207"/>
      <c r="O99" s="207"/>
      <c r="P99" s="208"/>
      <c r="Q99" s="199"/>
      <c r="R99" s="39"/>
      <c r="T99" s="224"/>
      <c r="U99" s="224"/>
      <c r="V99" s="224"/>
    </row>
    <row r="100" spans="1:22" ht="23.4" hidden="1" customHeight="1" x14ac:dyDescent="0.35">
      <c r="A100" s="4"/>
      <c r="B100" s="231" t="s">
        <v>369</v>
      </c>
      <c r="C100" s="11" t="s">
        <v>84</v>
      </c>
      <c r="D100" s="13" t="s">
        <v>104</v>
      </c>
      <c r="E100" s="8" t="s">
        <v>105</v>
      </c>
      <c r="F100" s="9">
        <v>60</v>
      </c>
      <c r="G100" s="8">
        <v>20000</v>
      </c>
      <c r="H100" s="10">
        <v>0.6</v>
      </c>
      <c r="I100" s="30">
        <f>F100*G100*H100</f>
        <v>720000</v>
      </c>
      <c r="J100" s="192">
        <f t="shared" ref="J100:J105" si="44">Q100</f>
        <v>0</v>
      </c>
      <c r="K100" s="193">
        <f t="shared" ref="K100:K105" si="45">I100-J100</f>
        <v>720000</v>
      </c>
      <c r="L100" s="87" t="e">
        <f>IF(#REF!="","",I100-#REF!)</f>
        <v>#REF!</v>
      </c>
      <c r="M100" s="267"/>
      <c r="N100" s="207"/>
      <c r="O100" s="207">
        <v>0</v>
      </c>
      <c r="P100" s="208">
        <v>0</v>
      </c>
      <c r="Q100" s="199">
        <f>SUM(N100:P100)</f>
        <v>0</v>
      </c>
      <c r="R100" s="39">
        <f t="shared" ref="R100:R105" si="46">Q100/I100</f>
        <v>0</v>
      </c>
      <c r="T100" s="224"/>
      <c r="U100" s="224"/>
      <c r="V100" s="224"/>
    </row>
    <row r="101" spans="1:22" ht="23.4" hidden="1" customHeight="1" x14ac:dyDescent="0.35">
      <c r="A101" s="4"/>
      <c r="B101" s="231" t="s">
        <v>370</v>
      </c>
      <c r="C101" s="11" t="s">
        <v>84</v>
      </c>
      <c r="D101" s="13" t="s">
        <v>106</v>
      </c>
      <c r="E101" s="8" t="s">
        <v>105</v>
      </c>
      <c r="F101" s="9">
        <v>150</v>
      </c>
      <c r="G101" s="8">
        <v>10000</v>
      </c>
      <c r="H101" s="10">
        <v>0.6</v>
      </c>
      <c r="I101" s="30">
        <f>F101*G101*H101</f>
        <v>900000</v>
      </c>
      <c r="J101" s="192">
        <f t="shared" si="44"/>
        <v>0</v>
      </c>
      <c r="K101" s="193">
        <f t="shared" si="45"/>
        <v>900000</v>
      </c>
      <c r="L101" s="87" t="e">
        <f>IF(#REF!="","",I101-#REF!)</f>
        <v>#REF!</v>
      </c>
      <c r="M101" s="267"/>
      <c r="N101" s="207"/>
      <c r="O101" s="207">
        <v>0</v>
      </c>
      <c r="P101" s="208">
        <v>0</v>
      </c>
      <c r="Q101" s="199">
        <f t="shared" ref="Q101:Q104" si="47">SUM(N101:P101)</f>
        <v>0</v>
      </c>
      <c r="R101" s="39">
        <f t="shared" si="46"/>
        <v>0</v>
      </c>
      <c r="T101" s="224"/>
      <c r="U101" s="224"/>
      <c r="V101" s="224"/>
    </row>
    <row r="102" spans="1:22" ht="23.4" customHeight="1" x14ac:dyDescent="0.35">
      <c r="A102" s="4"/>
      <c r="B102" s="231" t="s">
        <v>371</v>
      </c>
      <c r="C102" s="11" t="s">
        <v>84</v>
      </c>
      <c r="D102" s="13" t="s">
        <v>107</v>
      </c>
      <c r="E102" s="8" t="s">
        <v>105</v>
      </c>
      <c r="F102" s="9">
        <v>230</v>
      </c>
      <c r="G102" s="8">
        <v>5000</v>
      </c>
      <c r="H102" s="10">
        <v>0.6</v>
      </c>
      <c r="I102" s="30">
        <f>F102*G102*H102</f>
        <v>690000</v>
      </c>
      <c r="J102" s="192">
        <f t="shared" si="44"/>
        <v>7200</v>
      </c>
      <c r="K102" s="193">
        <f t="shared" si="45"/>
        <v>682800</v>
      </c>
      <c r="L102" s="87" t="e">
        <f>IF(#REF!="","",I102-#REF!)</f>
        <v>#REF!</v>
      </c>
      <c r="M102" s="267" t="s">
        <v>279</v>
      </c>
      <c r="N102" s="207"/>
      <c r="O102" s="207">
        <v>0</v>
      </c>
      <c r="P102" s="208">
        <f>20*200*1.8</f>
        <v>7200</v>
      </c>
      <c r="Q102" s="199">
        <f t="shared" si="47"/>
        <v>7200</v>
      </c>
      <c r="R102" s="39">
        <f t="shared" si="46"/>
        <v>1.0434782608695653E-2</v>
      </c>
      <c r="T102" s="224"/>
      <c r="U102" s="224"/>
      <c r="V102" s="224"/>
    </row>
    <row r="103" spans="1:22" ht="23.4" hidden="1" customHeight="1" x14ac:dyDescent="0.35">
      <c r="A103" s="4"/>
      <c r="B103" s="231" t="s">
        <v>372</v>
      </c>
      <c r="C103" s="11" t="s">
        <v>84</v>
      </c>
      <c r="D103" s="13" t="s">
        <v>108</v>
      </c>
      <c r="E103" s="8" t="s">
        <v>105</v>
      </c>
      <c r="F103" s="9">
        <v>260</v>
      </c>
      <c r="G103" s="8">
        <v>10000</v>
      </c>
      <c r="H103" s="10">
        <v>0.6</v>
      </c>
      <c r="I103" s="30">
        <f>F103*G103*H103</f>
        <v>1560000</v>
      </c>
      <c r="J103" s="192">
        <f t="shared" si="44"/>
        <v>0</v>
      </c>
      <c r="K103" s="193">
        <f t="shared" si="45"/>
        <v>1560000</v>
      </c>
      <c r="L103" s="87" t="e">
        <f>IF(#REF!="","",I103-#REF!)</f>
        <v>#REF!</v>
      </c>
      <c r="M103" s="267"/>
      <c r="N103" s="207"/>
      <c r="O103" s="207">
        <v>0</v>
      </c>
      <c r="P103" s="208">
        <v>0</v>
      </c>
      <c r="Q103" s="199">
        <f t="shared" si="47"/>
        <v>0</v>
      </c>
      <c r="R103" s="39">
        <f t="shared" si="46"/>
        <v>0</v>
      </c>
      <c r="T103" s="224"/>
      <c r="U103" s="224"/>
      <c r="V103" s="224"/>
    </row>
    <row r="104" spans="1:22" ht="23.4" hidden="1" customHeight="1" x14ac:dyDescent="0.35">
      <c r="A104" s="4"/>
      <c r="B104" s="231" t="s">
        <v>373</v>
      </c>
      <c r="C104" s="11" t="s">
        <v>84</v>
      </c>
      <c r="D104" s="13" t="s">
        <v>109</v>
      </c>
      <c r="E104" s="8" t="s">
        <v>105</v>
      </c>
      <c r="F104" s="9">
        <v>30</v>
      </c>
      <c r="G104" s="8">
        <v>10000</v>
      </c>
      <c r="H104" s="10">
        <v>0.6</v>
      </c>
      <c r="I104" s="30">
        <f>F104*G104*H104</f>
        <v>180000</v>
      </c>
      <c r="J104" s="192">
        <f t="shared" si="44"/>
        <v>0</v>
      </c>
      <c r="K104" s="193">
        <f t="shared" si="45"/>
        <v>180000</v>
      </c>
      <c r="L104" s="87" t="e">
        <f>IF(#REF!="","",I104-#REF!)</f>
        <v>#REF!</v>
      </c>
      <c r="M104" s="267"/>
      <c r="N104" s="207"/>
      <c r="O104" s="207">
        <v>0</v>
      </c>
      <c r="P104" s="208">
        <v>0</v>
      </c>
      <c r="Q104" s="199">
        <f t="shared" si="47"/>
        <v>0</v>
      </c>
      <c r="R104" s="39">
        <f t="shared" si="46"/>
        <v>0</v>
      </c>
      <c r="T104" s="224"/>
      <c r="U104" s="224"/>
      <c r="V104" s="224"/>
    </row>
    <row r="105" spans="1:22" ht="23.4" customHeight="1" x14ac:dyDescent="0.35">
      <c r="A105" s="1"/>
      <c r="B105" s="64"/>
      <c r="C105" s="18"/>
      <c r="D105" s="25" t="s">
        <v>384</v>
      </c>
      <c r="E105" s="23"/>
      <c r="F105" s="26"/>
      <c r="G105" s="23"/>
      <c r="H105" s="29"/>
      <c r="I105" s="27">
        <f>SUM(I100:I104)</f>
        <v>4050000</v>
      </c>
      <c r="J105" s="177">
        <f t="shared" si="44"/>
        <v>7200</v>
      </c>
      <c r="K105" s="178">
        <f t="shared" si="45"/>
        <v>4042800</v>
      </c>
      <c r="L105" s="88" t="e">
        <f>IF(#REF!="","",I105-#REF!)</f>
        <v>#REF!</v>
      </c>
      <c r="M105" s="115"/>
      <c r="N105" s="209"/>
      <c r="O105" s="209"/>
      <c r="P105" s="210"/>
      <c r="Q105" s="200">
        <f>Q100+Q101+Q102+Q103+Q104</f>
        <v>7200</v>
      </c>
      <c r="R105" s="56">
        <f t="shared" si="46"/>
        <v>1.7777777777777779E-3</v>
      </c>
      <c r="T105" s="224"/>
      <c r="U105" s="224"/>
      <c r="V105" s="224"/>
    </row>
    <row r="106" spans="1:22" ht="23.4" customHeight="1" x14ac:dyDescent="0.35">
      <c r="A106" s="19"/>
      <c r="B106" s="64" t="s">
        <v>374</v>
      </c>
      <c r="C106" s="6"/>
      <c r="D106" s="7" t="s">
        <v>110</v>
      </c>
      <c r="E106" s="5"/>
      <c r="F106" s="20"/>
      <c r="G106" s="5"/>
      <c r="H106" s="21"/>
      <c r="I106" s="31"/>
      <c r="J106" s="192"/>
      <c r="K106" s="193"/>
      <c r="L106" s="87" t="e">
        <f>IF(#REF!="","",I106-#REF!)</f>
        <v>#REF!</v>
      </c>
      <c r="M106" s="267"/>
      <c r="N106" s="207"/>
      <c r="O106" s="207"/>
      <c r="P106" s="208"/>
      <c r="Q106" s="199"/>
      <c r="R106" s="39"/>
      <c r="T106" s="224"/>
      <c r="U106" s="224"/>
      <c r="V106" s="224"/>
    </row>
    <row r="107" spans="1:22" ht="23.4" hidden="1" customHeight="1" x14ac:dyDescent="0.35">
      <c r="A107" s="19"/>
      <c r="B107" s="231" t="s">
        <v>375</v>
      </c>
      <c r="C107" s="11" t="s">
        <v>84</v>
      </c>
      <c r="D107" s="13" t="s">
        <v>111</v>
      </c>
      <c r="E107" s="8" t="s">
        <v>32</v>
      </c>
      <c r="F107" s="9">
        <v>250000</v>
      </c>
      <c r="G107" s="8">
        <v>1</v>
      </c>
      <c r="H107" s="10">
        <v>0.6</v>
      </c>
      <c r="I107" s="30">
        <f>F107*G107*H107</f>
        <v>150000</v>
      </c>
      <c r="J107" s="192">
        <f t="shared" ref="J107:J111" si="48">Q107</f>
        <v>0</v>
      </c>
      <c r="K107" s="193">
        <f>I107-J107</f>
        <v>150000</v>
      </c>
      <c r="L107" s="87" t="e">
        <f>IF(#REF!="","",I107-#REF!)</f>
        <v>#REF!</v>
      </c>
      <c r="M107" s="267"/>
      <c r="N107" s="207"/>
      <c r="O107" s="207">
        <v>0</v>
      </c>
      <c r="P107" s="208">
        <v>0</v>
      </c>
      <c r="Q107" s="199">
        <f>SUM(N107:P107)</f>
        <v>0</v>
      </c>
      <c r="R107" s="39">
        <f>Q107/I107</f>
        <v>0</v>
      </c>
      <c r="T107" s="224"/>
      <c r="U107" s="224"/>
      <c r="V107" s="224"/>
    </row>
    <row r="108" spans="1:22" s="43" customFormat="1" ht="23.4" customHeight="1" x14ac:dyDescent="0.35">
      <c r="A108" s="19"/>
      <c r="B108" s="231" t="s">
        <v>376</v>
      </c>
      <c r="C108" s="11" t="s">
        <v>84</v>
      </c>
      <c r="D108" s="13" t="s">
        <v>112</v>
      </c>
      <c r="E108" s="8" t="s">
        <v>32</v>
      </c>
      <c r="F108" s="9">
        <v>250000</v>
      </c>
      <c r="G108" s="8">
        <v>1</v>
      </c>
      <c r="H108" s="10">
        <v>0.6</v>
      </c>
      <c r="I108" s="30">
        <f>F108*G108*H108</f>
        <v>150000</v>
      </c>
      <c r="J108" s="192">
        <f t="shared" si="48"/>
        <v>24353.240152477763</v>
      </c>
      <c r="K108" s="193">
        <f>I108-J108</f>
        <v>125646.75984752223</v>
      </c>
      <c r="L108" s="90" t="e">
        <f>IF(#REF!="","",I108-#REF!)</f>
        <v>#REF!</v>
      </c>
      <c r="M108" s="119" t="s">
        <v>392</v>
      </c>
      <c r="N108" s="215"/>
      <c r="O108" s="215">
        <f>I108/23.61</f>
        <v>6353.2401524777642</v>
      </c>
      <c r="P108" s="251">
        <f>P3*I108/25</f>
        <v>18000</v>
      </c>
      <c r="Q108" s="252">
        <f>SUM(N108:P108)</f>
        <v>24353.240152477763</v>
      </c>
      <c r="R108" s="45">
        <f>Q108/I108</f>
        <v>0.16235493434985176</v>
      </c>
      <c r="T108" s="225"/>
      <c r="U108" s="225"/>
      <c r="V108" s="225"/>
    </row>
    <row r="109" spans="1:22" ht="23.4" customHeight="1" x14ac:dyDescent="0.35">
      <c r="A109" s="1"/>
      <c r="B109" s="64"/>
      <c r="C109" s="18"/>
      <c r="D109" s="25" t="s">
        <v>381</v>
      </c>
      <c r="E109" s="23"/>
      <c r="F109" s="26"/>
      <c r="G109" s="23"/>
      <c r="H109" s="29"/>
      <c r="I109" s="27">
        <f>SUM(I107:I108)</f>
        <v>300000</v>
      </c>
      <c r="J109" s="177">
        <f t="shared" si="48"/>
        <v>24353.240152477763</v>
      </c>
      <c r="K109" s="178">
        <f>I109-J109</f>
        <v>275646.75984752225</v>
      </c>
      <c r="L109" s="88" t="e">
        <f>IF(#REF!="","",I109-#REF!)</f>
        <v>#REF!</v>
      </c>
      <c r="M109" s="115"/>
      <c r="N109" s="209"/>
      <c r="O109" s="209"/>
      <c r="P109" s="210"/>
      <c r="Q109" s="200">
        <f>Q107+Q108</f>
        <v>24353.240152477763</v>
      </c>
      <c r="R109" s="56">
        <f>Q109/I109</f>
        <v>8.1177467174925882E-2</v>
      </c>
      <c r="T109" s="224"/>
      <c r="U109" s="224"/>
      <c r="V109" s="224"/>
    </row>
    <row r="110" spans="1:22" ht="23.4" hidden="1" customHeight="1" x14ac:dyDescent="0.35">
      <c r="A110" s="19"/>
      <c r="B110" s="64" t="s">
        <v>377</v>
      </c>
      <c r="C110" s="6"/>
      <c r="D110" s="7" t="s">
        <v>125</v>
      </c>
      <c r="E110" s="5" t="s">
        <v>113</v>
      </c>
      <c r="F110" s="20">
        <v>75000</v>
      </c>
      <c r="G110" s="5">
        <v>1</v>
      </c>
      <c r="H110" s="21">
        <v>4</v>
      </c>
      <c r="I110" s="31">
        <f>F110*G110*H110</f>
        <v>300000</v>
      </c>
      <c r="J110" s="192">
        <f t="shared" si="48"/>
        <v>0</v>
      </c>
      <c r="K110" s="193">
        <f>I110-J110</f>
        <v>300000</v>
      </c>
      <c r="L110" s="87" t="e">
        <f>IF(#REF!="","",I110-#REF!)</f>
        <v>#REF!</v>
      </c>
      <c r="M110" s="267"/>
      <c r="N110" s="207"/>
      <c r="O110" s="207">
        <v>0</v>
      </c>
      <c r="P110" s="208">
        <v>0</v>
      </c>
      <c r="Q110" s="199">
        <f>SUM(N110:P110)</f>
        <v>0</v>
      </c>
      <c r="R110" s="39">
        <f>Q110/I110</f>
        <v>0</v>
      </c>
      <c r="T110" s="224"/>
      <c r="U110" s="224"/>
      <c r="V110" s="224"/>
    </row>
    <row r="111" spans="1:22" ht="23.4" hidden="1" customHeight="1" x14ac:dyDescent="0.35">
      <c r="A111" s="1"/>
      <c r="B111" s="64"/>
      <c r="C111" s="18"/>
      <c r="D111" s="25" t="s">
        <v>382</v>
      </c>
      <c r="E111" s="23"/>
      <c r="F111" s="26"/>
      <c r="G111" s="23"/>
      <c r="H111" s="29"/>
      <c r="I111" s="27">
        <f>SUM(I110)</f>
        <v>300000</v>
      </c>
      <c r="J111" s="177">
        <f t="shared" si="48"/>
        <v>0</v>
      </c>
      <c r="K111" s="178">
        <f>I111-J111</f>
        <v>300000</v>
      </c>
      <c r="L111" s="88" t="e">
        <f>IF(#REF!="","",I111-#REF!)</f>
        <v>#REF!</v>
      </c>
      <c r="M111" s="115"/>
      <c r="N111" s="209"/>
      <c r="O111" s="209"/>
      <c r="P111" s="210"/>
      <c r="Q111" s="200">
        <f>Q110</f>
        <v>0</v>
      </c>
      <c r="R111" s="56">
        <f>Q111/I111</f>
        <v>0</v>
      </c>
      <c r="T111" s="224"/>
      <c r="U111" s="224"/>
      <c r="V111" s="224"/>
    </row>
    <row r="112" spans="1:22" ht="23.4" customHeight="1" x14ac:dyDescent="0.35">
      <c r="A112" s="19"/>
      <c r="B112" s="64" t="s">
        <v>378</v>
      </c>
      <c r="C112" s="6"/>
      <c r="D112" s="7" t="s">
        <v>114</v>
      </c>
      <c r="E112" s="5"/>
      <c r="F112" s="20"/>
      <c r="G112" s="5"/>
      <c r="H112" s="21"/>
      <c r="I112" s="31"/>
      <c r="J112" s="186"/>
      <c r="K112" s="187"/>
      <c r="L112" s="87" t="e">
        <f>IF(#REF!="","",I112-#REF!)</f>
        <v>#REF!</v>
      </c>
      <c r="M112" s="267"/>
      <c r="N112" s="207"/>
      <c r="O112" s="207"/>
      <c r="P112" s="208"/>
      <c r="Q112" s="199"/>
      <c r="R112" s="39"/>
      <c r="T112" s="224"/>
      <c r="U112" s="224"/>
      <c r="V112" s="224"/>
    </row>
    <row r="113" spans="1:22" s="43" customFormat="1" ht="23.4" customHeight="1" x14ac:dyDescent="0.35">
      <c r="A113" s="19"/>
      <c r="B113" s="231" t="s">
        <v>379</v>
      </c>
      <c r="C113" s="11" t="s">
        <v>84</v>
      </c>
      <c r="D113" s="13" t="s">
        <v>115</v>
      </c>
      <c r="E113" s="8" t="s">
        <v>32</v>
      </c>
      <c r="F113" s="9">
        <v>80000</v>
      </c>
      <c r="G113" s="8">
        <v>1</v>
      </c>
      <c r="H113" s="10">
        <v>1</v>
      </c>
      <c r="I113" s="30">
        <f>F113*G113*H113</f>
        <v>80000</v>
      </c>
      <c r="J113" s="192">
        <f>Q113</f>
        <v>20000</v>
      </c>
      <c r="K113" s="193">
        <f>I113-J113</f>
        <v>60000</v>
      </c>
      <c r="L113" s="90" t="e">
        <f>IF(#REF!="","",I113-#REF!)</f>
        <v>#REF!</v>
      </c>
      <c r="M113" s="119" t="s">
        <v>397</v>
      </c>
      <c r="N113" s="215"/>
      <c r="O113" s="215">
        <v>0</v>
      </c>
      <c r="P113" s="251">
        <v>20000</v>
      </c>
      <c r="Q113" s="252">
        <f>SUM(N113:P113)</f>
        <v>20000</v>
      </c>
      <c r="R113" s="45">
        <f>Q113/I113</f>
        <v>0.25</v>
      </c>
      <c r="T113" s="225"/>
      <c r="U113" s="225"/>
      <c r="V113" s="225"/>
    </row>
    <row r="114" spans="1:22" ht="23.4" hidden="1" customHeight="1" x14ac:dyDescent="0.35">
      <c r="A114" s="19"/>
      <c r="B114" s="231" t="s">
        <v>380</v>
      </c>
      <c r="C114" s="11" t="s">
        <v>84</v>
      </c>
      <c r="D114" s="13" t="s">
        <v>116</v>
      </c>
      <c r="E114" s="8" t="s">
        <v>32</v>
      </c>
      <c r="F114" s="9">
        <v>700000</v>
      </c>
      <c r="G114" s="8">
        <v>1</v>
      </c>
      <c r="H114" s="10">
        <v>0.6</v>
      </c>
      <c r="I114" s="30">
        <f>F114*G114*H114</f>
        <v>420000</v>
      </c>
      <c r="J114" s="192">
        <f>Q114</f>
        <v>0</v>
      </c>
      <c r="K114" s="193">
        <f>I114-J114</f>
        <v>420000</v>
      </c>
      <c r="L114" s="87" t="e">
        <f>IF(#REF!="","",I114-#REF!)</f>
        <v>#REF!</v>
      </c>
      <c r="M114" s="267"/>
      <c r="N114" s="207"/>
      <c r="O114" s="207">
        <v>0</v>
      </c>
      <c r="P114" s="208">
        <v>0</v>
      </c>
      <c r="Q114" s="199">
        <f>SUM(N114:P114)</f>
        <v>0</v>
      </c>
      <c r="R114" s="39">
        <f>Q114/I114</f>
        <v>0</v>
      </c>
      <c r="T114" s="224"/>
      <c r="U114" s="224"/>
      <c r="V114" s="224"/>
    </row>
    <row r="115" spans="1:22" ht="23.4" customHeight="1" x14ac:dyDescent="0.35">
      <c r="A115" s="1"/>
      <c r="B115" s="64"/>
      <c r="C115" s="18"/>
      <c r="D115" s="25" t="s">
        <v>383</v>
      </c>
      <c r="E115" s="23"/>
      <c r="F115" s="26"/>
      <c r="G115" s="23"/>
      <c r="H115" s="29"/>
      <c r="I115" s="27">
        <f>SUM(I113:I114)</f>
        <v>500000</v>
      </c>
      <c r="J115" s="177">
        <f>Q115</f>
        <v>20000</v>
      </c>
      <c r="K115" s="178">
        <f>I115-J115</f>
        <v>480000</v>
      </c>
      <c r="L115" s="88" t="e">
        <f>IF(#REF!="","",I115-#REF!)</f>
        <v>#REF!</v>
      </c>
      <c r="M115" s="115"/>
      <c r="N115" s="209"/>
      <c r="O115" s="209"/>
      <c r="P115" s="210"/>
      <c r="Q115" s="200">
        <f>Q113+Q114</f>
        <v>20000</v>
      </c>
      <c r="R115" s="56">
        <f>Q115/I115</f>
        <v>0.04</v>
      </c>
      <c r="T115" s="224"/>
      <c r="U115" s="224"/>
      <c r="V115" s="224"/>
    </row>
    <row r="116" spans="1:22" ht="23.4" customHeight="1" x14ac:dyDescent="0.35">
      <c r="A116" s="22"/>
      <c r="B116" s="64"/>
      <c r="C116" s="24"/>
      <c r="D116" s="57" t="s">
        <v>117</v>
      </c>
      <c r="E116" s="58"/>
      <c r="F116" s="59"/>
      <c r="G116" s="58"/>
      <c r="H116" s="60"/>
      <c r="I116" s="61">
        <f>I61+I73+I83+I88+I98+I105+I109+I111+I115</f>
        <v>11642588</v>
      </c>
      <c r="J116" s="184">
        <f>Q116</f>
        <v>434844.90681914444</v>
      </c>
      <c r="K116" s="185">
        <f>I116-J116</f>
        <v>11207743.093180856</v>
      </c>
      <c r="L116" s="89" t="e">
        <f>IF(#REF!="","",I116-#REF!)</f>
        <v>#REF!</v>
      </c>
      <c r="M116" s="118"/>
      <c r="N116" s="213"/>
      <c r="O116" s="213"/>
      <c r="P116" s="214"/>
      <c r="Q116" s="204">
        <f>Q61+Q73+Q83+Q88+Q98+Q105+Q109+Q111+Q115</f>
        <v>434844.90681914444</v>
      </c>
      <c r="R116" s="72">
        <f>Q116/I116</f>
        <v>3.7349505695739166E-2</v>
      </c>
      <c r="T116" s="224"/>
      <c r="U116" s="224"/>
      <c r="V116" s="224"/>
    </row>
    <row r="117" spans="1:22" ht="44.4" customHeight="1" thickBot="1" x14ac:dyDescent="0.4">
      <c r="A117" s="1" t="s">
        <v>118</v>
      </c>
      <c r="B117" s="64"/>
      <c r="C117" s="18"/>
      <c r="D117" s="273" t="s">
        <v>422</v>
      </c>
      <c r="E117" s="58"/>
      <c r="F117" s="59"/>
      <c r="G117" s="58"/>
      <c r="H117" s="60"/>
      <c r="I117" s="61">
        <f>I116+I24+I26+I38+I50</f>
        <v>14448888</v>
      </c>
      <c r="J117" s="61">
        <f>J116+J24+J26+J38+J50</f>
        <v>1150344.9068191445</v>
      </c>
      <c r="K117" s="185">
        <f>I117-J117</f>
        <v>13298543.093180856</v>
      </c>
      <c r="L117" s="89" t="e">
        <f>IF(#REF!="","",I117-#REF!)</f>
        <v>#REF!</v>
      </c>
      <c r="M117" s="274"/>
      <c r="N117" s="213"/>
      <c r="O117" s="213"/>
      <c r="P117" s="214"/>
      <c r="Q117" s="204">
        <f>Q116+Q24+Q26+Q38+Q50+Q6</f>
        <v>1641299.2401524778</v>
      </c>
      <c r="R117" s="72">
        <f>Q117/I117</f>
        <v>0.11359346408889583</v>
      </c>
      <c r="T117" s="224"/>
      <c r="U117" s="224"/>
      <c r="V117" s="224"/>
    </row>
    <row r="118" spans="1:22" ht="23.4" customHeight="1" x14ac:dyDescent="0.35">
      <c r="A118" s="283" t="s">
        <v>119</v>
      </c>
      <c r="B118" s="285"/>
      <c r="C118" s="84"/>
      <c r="D118" s="287" t="s">
        <v>425</v>
      </c>
      <c r="E118" s="73"/>
      <c r="F118" s="74"/>
      <c r="G118" s="75"/>
      <c r="H118" s="76"/>
      <c r="I118" s="77">
        <f>I117+I5</f>
        <v>16973797</v>
      </c>
      <c r="J118" s="77">
        <f t="shared" ref="J118:K118" si="49">J117+J5</f>
        <v>1641299.2401524778</v>
      </c>
      <c r="K118" s="77">
        <f t="shared" si="49"/>
        <v>15332497.759847522</v>
      </c>
      <c r="L118" s="121" t="e">
        <f>IF(#REF!="","",I118-#REF!)</f>
        <v>#REF!</v>
      </c>
      <c r="M118" s="264" t="s">
        <v>393</v>
      </c>
      <c r="N118" s="255">
        <f>SUM(N5:N117)</f>
        <v>7800</v>
      </c>
      <c r="O118" s="216">
        <f>SUM(O5:O117)</f>
        <v>796148.57348581101</v>
      </c>
      <c r="P118" s="258">
        <f>SUM(P5:P117)</f>
        <v>837350.66666666674</v>
      </c>
      <c r="Q118" s="205">
        <f>Q117</f>
        <v>1641299.2401524778</v>
      </c>
      <c r="R118" s="78">
        <f>R117</f>
        <v>0.11359346408889583</v>
      </c>
      <c r="T118" s="224"/>
      <c r="U118" s="224"/>
      <c r="V118" s="224"/>
    </row>
    <row r="119" spans="1:22" ht="23.4" customHeight="1" thickBot="1" x14ac:dyDescent="0.4">
      <c r="A119" s="284"/>
      <c r="B119" s="286"/>
      <c r="C119" s="85"/>
      <c r="D119" s="288"/>
      <c r="E119" s="79"/>
      <c r="F119" s="80"/>
      <c r="G119" s="81"/>
      <c r="H119" s="82"/>
      <c r="I119" s="196"/>
      <c r="J119" s="197"/>
      <c r="K119" s="198"/>
      <c r="L119" s="122"/>
      <c r="M119" s="265" t="s">
        <v>394</v>
      </c>
      <c r="N119" s="263">
        <f>N118</f>
        <v>7800</v>
      </c>
      <c r="O119" s="217">
        <f>N119+O118</f>
        <v>803948.57348581101</v>
      </c>
      <c r="P119" s="218">
        <f>O119+P118</f>
        <v>1641299.2401524778</v>
      </c>
      <c r="Q119" s="206"/>
      <c r="R119" s="83"/>
      <c r="U119" s="224"/>
      <c r="V119" s="224"/>
    </row>
    <row r="120" spans="1:22" ht="24" customHeight="1" x14ac:dyDescent="0.35">
      <c r="B120" s="64" t="s">
        <v>399</v>
      </c>
      <c r="C120" s="6"/>
      <c r="D120" s="25" t="s">
        <v>400</v>
      </c>
      <c r="E120" s="23"/>
      <c r="F120" s="26"/>
      <c r="G120" s="23"/>
      <c r="H120" s="29"/>
      <c r="I120" s="27">
        <f>SUM(I121:I127)</f>
        <v>600000</v>
      </c>
      <c r="J120" s="27">
        <f t="shared" ref="J120:L120" si="50">SUM(J121:J127)</f>
        <v>33000</v>
      </c>
      <c r="K120" s="27">
        <f t="shared" si="50"/>
        <v>567000</v>
      </c>
      <c r="L120" s="27">
        <f t="shared" si="50"/>
        <v>0</v>
      </c>
      <c r="M120" s="115"/>
      <c r="N120" s="209">
        <f>SUM(N121:N127)</f>
        <v>0</v>
      </c>
      <c r="O120" s="209">
        <f t="shared" ref="O120:Q120" si="51">SUM(O121:O127)</f>
        <v>0</v>
      </c>
      <c r="P120" s="210">
        <f t="shared" si="51"/>
        <v>33000</v>
      </c>
      <c r="Q120" s="200">
        <f t="shared" si="51"/>
        <v>33000</v>
      </c>
      <c r="R120" s="56">
        <f>Q120/I120</f>
        <v>5.5E-2</v>
      </c>
    </row>
    <row r="121" spans="1:22" ht="28.25" hidden="1" customHeight="1" x14ac:dyDescent="0.35">
      <c r="B121" s="231" t="s">
        <v>401</v>
      </c>
      <c r="C121" s="11"/>
      <c r="D121" s="13" t="s">
        <v>402</v>
      </c>
      <c r="E121" s="8"/>
      <c r="F121" s="9"/>
      <c r="G121" s="8"/>
      <c r="H121" s="10"/>
      <c r="I121" s="30">
        <v>144000</v>
      </c>
      <c r="J121" s="192">
        <v>0</v>
      </c>
      <c r="K121" s="193">
        <f>I121-J121</f>
        <v>144000</v>
      </c>
      <c r="L121" s="87"/>
      <c r="M121" s="271" t="s">
        <v>414</v>
      </c>
      <c r="N121" s="207">
        <v>0</v>
      </c>
      <c r="O121" s="207">
        <v>0</v>
      </c>
      <c r="P121" s="208">
        <v>0</v>
      </c>
      <c r="Q121" s="199">
        <f>SUM(N121:P121)</f>
        <v>0</v>
      </c>
      <c r="R121" s="39">
        <f>Q121/I121</f>
        <v>0</v>
      </c>
    </row>
    <row r="122" spans="1:22" ht="28.25" hidden="1" customHeight="1" x14ac:dyDescent="0.35">
      <c r="B122" s="231" t="s">
        <v>408</v>
      </c>
      <c r="C122" s="11"/>
      <c r="D122" s="13" t="s">
        <v>403</v>
      </c>
      <c r="E122" s="8"/>
      <c r="F122" s="9"/>
      <c r="G122" s="8"/>
      <c r="H122" s="10"/>
      <c r="I122" s="30">
        <v>144000</v>
      </c>
      <c r="J122" s="192">
        <v>0</v>
      </c>
      <c r="K122" s="193">
        <f t="shared" ref="K122:K127" si="52">I122-J122</f>
        <v>144000</v>
      </c>
      <c r="L122" s="87"/>
      <c r="M122" s="275" t="s">
        <v>420</v>
      </c>
      <c r="N122" s="207">
        <v>0</v>
      </c>
      <c r="O122" s="207">
        <v>0</v>
      </c>
      <c r="P122" s="208">
        <v>0</v>
      </c>
      <c r="Q122" s="199">
        <f t="shared" ref="Q122:Q126" si="53">SUM(N122:P122)</f>
        <v>0</v>
      </c>
      <c r="R122" s="39">
        <f t="shared" ref="R122:R126" si="54">Q122/I122</f>
        <v>0</v>
      </c>
    </row>
    <row r="123" spans="1:22" ht="23" hidden="1" x14ac:dyDescent="0.35">
      <c r="B123" s="231" t="s">
        <v>409</v>
      </c>
      <c r="C123" s="11"/>
      <c r="D123" s="13" t="s">
        <v>404</v>
      </c>
      <c r="E123" s="8"/>
      <c r="F123" s="9"/>
      <c r="G123" s="8"/>
      <c r="H123" s="10"/>
      <c r="I123" s="30">
        <v>54000</v>
      </c>
      <c r="J123" s="192">
        <v>0</v>
      </c>
      <c r="K123" s="193">
        <f t="shared" si="52"/>
        <v>54000</v>
      </c>
      <c r="L123" s="87"/>
      <c r="M123" s="271"/>
      <c r="N123" s="207">
        <v>0</v>
      </c>
      <c r="O123" s="207">
        <v>0</v>
      </c>
      <c r="P123" s="208">
        <v>0</v>
      </c>
      <c r="Q123" s="199">
        <f t="shared" si="53"/>
        <v>0</v>
      </c>
      <c r="R123" s="39">
        <f t="shared" si="54"/>
        <v>0</v>
      </c>
    </row>
    <row r="124" spans="1:22" s="43" customFormat="1" x14ac:dyDescent="0.35">
      <c r="B124" s="231" t="s">
        <v>410</v>
      </c>
      <c r="C124" s="11"/>
      <c r="D124" s="13" t="s">
        <v>405</v>
      </c>
      <c r="E124" s="8"/>
      <c r="F124" s="9"/>
      <c r="G124" s="8"/>
      <c r="H124" s="10"/>
      <c r="I124" s="30">
        <v>48000</v>
      </c>
      <c r="J124" s="192">
        <v>8000</v>
      </c>
      <c r="K124" s="193">
        <f t="shared" si="52"/>
        <v>40000</v>
      </c>
      <c r="L124" s="87"/>
      <c r="M124" s="271" t="s">
        <v>415</v>
      </c>
      <c r="N124" s="207">
        <v>0</v>
      </c>
      <c r="O124" s="207">
        <v>0</v>
      </c>
      <c r="P124" s="208">
        <v>8000</v>
      </c>
      <c r="Q124" s="199">
        <f t="shared" si="53"/>
        <v>8000</v>
      </c>
      <c r="R124" s="39">
        <f t="shared" si="54"/>
        <v>0.16666666666666666</v>
      </c>
    </row>
    <row r="125" spans="1:22" hidden="1" x14ac:dyDescent="0.35">
      <c r="B125" s="231" t="s">
        <v>411</v>
      </c>
      <c r="C125" s="11"/>
      <c r="D125" s="13" t="s">
        <v>406</v>
      </c>
      <c r="E125" s="8"/>
      <c r="F125" s="9"/>
      <c r="G125" s="8"/>
      <c r="H125" s="10"/>
      <c r="I125" s="30">
        <v>90000</v>
      </c>
      <c r="J125" s="192">
        <v>0</v>
      </c>
      <c r="K125" s="193">
        <f t="shared" si="52"/>
        <v>90000</v>
      </c>
      <c r="L125" s="87"/>
      <c r="M125" s="271"/>
      <c r="N125" s="207">
        <v>0</v>
      </c>
      <c r="O125" s="207">
        <v>0</v>
      </c>
      <c r="P125" s="208">
        <v>0</v>
      </c>
      <c r="Q125" s="199">
        <f t="shared" si="53"/>
        <v>0</v>
      </c>
      <c r="R125" s="39">
        <f t="shared" si="54"/>
        <v>0</v>
      </c>
    </row>
    <row r="126" spans="1:22" ht="23.5" thickBot="1" x14ac:dyDescent="0.4">
      <c r="B126" s="231" t="s">
        <v>412</v>
      </c>
      <c r="C126" s="11"/>
      <c r="D126" s="13" t="s">
        <v>407</v>
      </c>
      <c r="E126" s="8"/>
      <c r="F126" s="9"/>
      <c r="G126" s="8"/>
      <c r="H126" s="10"/>
      <c r="I126" s="30">
        <v>120000</v>
      </c>
      <c r="J126" s="192">
        <v>25000</v>
      </c>
      <c r="K126" s="193">
        <f t="shared" si="52"/>
        <v>95000</v>
      </c>
      <c r="L126" s="87"/>
      <c r="M126" s="271" t="s">
        <v>421</v>
      </c>
      <c r="N126" s="207">
        <v>0</v>
      </c>
      <c r="O126" s="207">
        <v>0</v>
      </c>
      <c r="P126" s="208">
        <v>25000</v>
      </c>
      <c r="Q126" s="199">
        <f t="shared" si="53"/>
        <v>25000</v>
      </c>
      <c r="R126" s="39">
        <f t="shared" si="54"/>
        <v>0.20833333333333334</v>
      </c>
    </row>
    <row r="127" spans="1:22" ht="23.5" hidden="1" thickBot="1" x14ac:dyDescent="0.4">
      <c r="B127" s="231" t="s">
        <v>413</v>
      </c>
      <c r="C127" s="11"/>
      <c r="D127" s="13" t="s">
        <v>416</v>
      </c>
      <c r="E127" s="8"/>
      <c r="F127" s="9"/>
      <c r="G127" s="8"/>
      <c r="H127" s="10"/>
      <c r="I127" s="30">
        <v>0</v>
      </c>
      <c r="J127" s="192">
        <v>0</v>
      </c>
      <c r="K127" s="193">
        <f t="shared" si="52"/>
        <v>0</v>
      </c>
      <c r="L127" s="87"/>
      <c r="M127" s="267"/>
      <c r="N127" s="207"/>
      <c r="O127" s="207"/>
      <c r="P127" s="208"/>
      <c r="Q127" s="199"/>
      <c r="R127" s="39"/>
    </row>
    <row r="128" spans="1:22" x14ac:dyDescent="0.35">
      <c r="B128" s="268"/>
      <c r="D128" s="269" t="s">
        <v>419</v>
      </c>
      <c r="I128" s="77">
        <f>I118+I120</f>
        <v>17573797</v>
      </c>
      <c r="J128" s="188">
        <f t="shared" ref="J128:K128" si="55">J118+J120</f>
        <v>1674299.2401524778</v>
      </c>
      <c r="K128" s="189">
        <f t="shared" si="55"/>
        <v>15899497.759847522</v>
      </c>
      <c r="L128" s="121"/>
      <c r="M128" s="264"/>
      <c r="N128" s="255">
        <f>N118+N120</f>
        <v>7800</v>
      </c>
      <c r="O128" s="216">
        <f t="shared" ref="O128:Q128" si="56">O118+O120</f>
        <v>796148.57348581101</v>
      </c>
      <c r="P128" s="258">
        <f t="shared" si="56"/>
        <v>870350.66666666674</v>
      </c>
      <c r="Q128" s="205">
        <f t="shared" si="56"/>
        <v>1674299.2401524778</v>
      </c>
      <c r="R128" s="78">
        <f>Q128/I128</f>
        <v>9.527248096427185E-2</v>
      </c>
    </row>
    <row r="129" spans="2:18" ht="15" thickBot="1" x14ac:dyDescent="0.4">
      <c r="B129" s="64" t="s">
        <v>417</v>
      </c>
      <c r="C129" s="6"/>
      <c r="D129" s="25" t="s">
        <v>418</v>
      </c>
      <c r="E129" s="23"/>
      <c r="F129" s="26"/>
      <c r="G129" s="23"/>
      <c r="H129" s="29"/>
      <c r="I129" s="27">
        <v>643792</v>
      </c>
      <c r="J129" s="27"/>
      <c r="K129" s="27"/>
      <c r="L129" s="27"/>
      <c r="M129" s="115"/>
      <c r="N129" s="209"/>
      <c r="O129" s="209"/>
      <c r="P129" s="209"/>
      <c r="Q129" s="200"/>
      <c r="R129" s="56"/>
    </row>
    <row r="130" spans="2:18" x14ac:dyDescent="0.35">
      <c r="B130" s="268"/>
      <c r="D130" s="269" t="s">
        <v>120</v>
      </c>
      <c r="I130" s="77">
        <f>SUM(I128:I129)</f>
        <v>18217589</v>
      </c>
      <c r="J130" s="77">
        <f t="shared" ref="J130:K130" si="57">SUM(J128:J129)</f>
        <v>1674299.2401524778</v>
      </c>
      <c r="K130" s="77">
        <f t="shared" si="57"/>
        <v>15899497.759847522</v>
      </c>
      <c r="L130" s="121"/>
      <c r="M130" s="264"/>
      <c r="N130" s="255">
        <f>N128+N129</f>
        <v>7800</v>
      </c>
      <c r="O130" s="255">
        <f t="shared" ref="O130:P130" si="58">O128+O129</f>
        <v>796148.57348581101</v>
      </c>
      <c r="P130" s="255">
        <f t="shared" si="58"/>
        <v>870350.66666666674</v>
      </c>
      <c r="Q130" s="205">
        <f>Q128+Q129</f>
        <v>1674299.2401524778</v>
      </c>
      <c r="R130" s="78">
        <f>Q130/I130</f>
        <v>9.1905643504882992E-2</v>
      </c>
    </row>
    <row r="132" spans="2:18" x14ac:dyDescent="0.35">
      <c r="I132" s="272"/>
      <c r="J132" s="272"/>
      <c r="K132" s="272"/>
    </row>
  </sheetData>
  <mergeCells count="7">
    <mergeCell ref="A2:D3"/>
    <mergeCell ref="M2:M3"/>
    <mergeCell ref="M9:M14"/>
    <mergeCell ref="M21:M22"/>
    <mergeCell ref="A118:A119"/>
    <mergeCell ref="B118:B119"/>
    <mergeCell ref="D118:D119"/>
  </mergeCells>
  <conditionalFormatting sqref="L4 L7:L55 L57:L119">
    <cfRule type="cellIs" dxfId="66" priority="34" operator="lessThan">
      <formula>0</formula>
    </cfRule>
    <cfRule type="cellIs" dxfId="65" priority="35" operator="greaterThan">
      <formula>0</formula>
    </cfRule>
    <cfRule type="cellIs" dxfId="64" priority="36" operator="equal">
      <formula>0</formula>
    </cfRule>
  </conditionalFormatting>
  <conditionalFormatting sqref="Q118">
    <cfRule type="expression" dxfId="63" priority="33">
      <formula>$F118&lt;&gt;#REF!</formula>
    </cfRule>
  </conditionalFormatting>
  <conditionalFormatting sqref="R118">
    <cfRule type="expression" dxfId="62" priority="32">
      <formula>$H118&lt;&gt;#REF!</formula>
    </cfRule>
  </conditionalFormatting>
  <conditionalFormatting sqref="L5:L6">
    <cfRule type="cellIs" dxfId="61" priority="29" operator="lessThan">
      <formula>0</formula>
    </cfRule>
    <cfRule type="cellIs" dxfId="60" priority="30" operator="greaterThan">
      <formula>0</formula>
    </cfRule>
    <cfRule type="cellIs" dxfId="59" priority="31" operator="equal">
      <formula>0</formula>
    </cfRule>
  </conditionalFormatting>
  <conditionalFormatting sqref="L56">
    <cfRule type="cellIs" dxfId="58" priority="26" operator="lessThan">
      <formula>0</formula>
    </cfRule>
    <cfRule type="cellIs" dxfId="57" priority="27" operator="greaterThan">
      <formula>0</formula>
    </cfRule>
    <cfRule type="cellIs" dxfId="56" priority="28" operator="equal">
      <formula>0</formula>
    </cfRule>
  </conditionalFormatting>
  <conditionalFormatting sqref="L121">
    <cfRule type="cellIs" dxfId="55" priority="17" operator="lessThan">
      <formula>0</formula>
    </cfRule>
    <cfRule type="cellIs" dxfId="54" priority="18" operator="greaterThan">
      <formula>0</formula>
    </cfRule>
    <cfRule type="cellIs" dxfId="53" priority="19" operator="equal">
      <formula>0</formula>
    </cfRule>
  </conditionalFormatting>
  <conditionalFormatting sqref="L123:L127">
    <cfRule type="cellIs" dxfId="52" priority="14" operator="lessThan">
      <formula>0</formula>
    </cfRule>
    <cfRule type="cellIs" dxfId="51" priority="15" operator="greaterThan">
      <formula>0</formula>
    </cfRule>
    <cfRule type="cellIs" dxfId="50" priority="16" operator="equal">
      <formula>0</formula>
    </cfRule>
  </conditionalFormatting>
  <conditionalFormatting sqref="L122">
    <cfRule type="cellIs" dxfId="49" priority="11" operator="lessThan">
      <formula>0</formula>
    </cfRule>
    <cfRule type="cellIs" dxfId="48" priority="12" operator="greaterThan">
      <formula>0</formula>
    </cfRule>
    <cfRule type="cellIs" dxfId="47" priority="13" operator="equal">
      <formula>0</formula>
    </cfRule>
  </conditionalFormatting>
  <conditionalFormatting sqref="L128">
    <cfRule type="cellIs" dxfId="46" priority="8" operator="lessThan">
      <formula>0</formula>
    </cfRule>
    <cfRule type="cellIs" dxfId="45" priority="9" operator="greaterThan">
      <formula>0</formula>
    </cfRule>
    <cfRule type="cellIs" dxfId="44" priority="10" operator="equal">
      <formula>0</formula>
    </cfRule>
  </conditionalFormatting>
  <conditionalFormatting sqref="Q128">
    <cfRule type="expression" dxfId="43" priority="7">
      <formula>$F128&lt;&gt;#REF!</formula>
    </cfRule>
  </conditionalFormatting>
  <conditionalFormatting sqref="R128">
    <cfRule type="expression" dxfId="42" priority="6">
      <formula>$H128&lt;&gt;#REF!</formula>
    </cfRule>
  </conditionalFormatting>
  <conditionalFormatting sqref="L130">
    <cfRule type="cellIs" dxfId="41" priority="3" operator="lessThan">
      <formula>0</formula>
    </cfRule>
    <cfRule type="cellIs" dxfId="40" priority="4" operator="greaterThan">
      <formula>0</formula>
    </cfRule>
    <cfRule type="cellIs" dxfId="39" priority="5" operator="equal">
      <formula>0</formula>
    </cfRule>
  </conditionalFormatting>
  <conditionalFormatting sqref="Q130">
    <cfRule type="expression" dxfId="38" priority="2">
      <formula>$F130&lt;&gt;#REF!</formula>
    </cfRule>
  </conditionalFormatting>
  <conditionalFormatting sqref="R130">
    <cfRule type="expression" dxfId="37" priority="1">
      <formula>$H130&lt;&gt;#REF!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24"/>
  <sheetViews>
    <sheetView zoomScale="80" zoomScaleNormal="80" workbookViewId="0">
      <pane xSplit="4" ySplit="2" topLeftCell="I3" activePane="bottomRight" state="frozenSplit"/>
      <selection activeCell="A2" sqref="A2"/>
      <selection pane="topRight" activeCell="K2" sqref="K2"/>
      <selection pane="bottomLeft" activeCell="A15" sqref="A15"/>
      <selection pane="bottomRight" activeCell="D122" sqref="D122"/>
    </sheetView>
  </sheetViews>
  <sheetFormatPr baseColWidth="10" defaultColWidth="7.36328125" defaultRowHeight="14.5" x14ac:dyDescent="0.35"/>
  <cols>
    <col min="1" max="1" width="4.36328125" style="42" hidden="1" customWidth="1"/>
    <col min="2" max="2" width="5" style="43" customWidth="1"/>
    <col min="3" max="3" width="0" style="42" hidden="1" customWidth="1"/>
    <col min="4" max="4" width="65" style="42" customWidth="1"/>
    <col min="5" max="8" width="7.36328125" style="42" hidden="1" customWidth="1"/>
    <col min="9" max="9" width="12.08984375" style="42" customWidth="1"/>
    <col min="10" max="10" width="13.36328125" style="91" customWidth="1"/>
    <col min="11" max="11" width="14.54296875" style="91" customWidth="1"/>
    <col min="12" max="12" width="9.54296875" style="91" hidden="1" customWidth="1"/>
    <col min="13" max="13" width="52.36328125" style="123" customWidth="1"/>
    <col min="14" max="15" width="11.36328125" style="91" customWidth="1"/>
    <col min="16" max="16" width="12.453125" style="91" customWidth="1"/>
    <col min="17" max="17" width="12.6328125" style="126" customWidth="1"/>
    <col min="18" max="18" width="10.36328125" style="37" customWidth="1"/>
    <col min="19" max="19" width="7.36328125" style="42"/>
    <col min="20" max="20" width="10.08984375" style="42" bestFit="1" customWidth="1"/>
    <col min="21" max="21" width="10" style="42" customWidth="1"/>
    <col min="22" max="22" width="12.6328125" style="42" customWidth="1"/>
    <col min="23" max="24" width="7.36328125" style="42"/>
    <col min="25" max="25" width="9.6328125" style="42" bestFit="1" customWidth="1"/>
    <col min="26" max="16384" width="7.36328125" style="42"/>
  </cols>
  <sheetData>
    <row r="1" spans="1:22" s="132" customFormat="1" ht="15.75" hidden="1" customHeight="1" thickBot="1" x14ac:dyDescent="0.4">
      <c r="J1" s="133"/>
      <c r="K1" s="133"/>
      <c r="L1" s="133"/>
      <c r="M1" s="134"/>
      <c r="N1" s="133">
        <v>36</v>
      </c>
      <c r="O1" s="133"/>
      <c r="P1" s="133"/>
      <c r="Q1" s="135"/>
      <c r="R1" s="136"/>
    </row>
    <row r="2" spans="1:22" ht="68.25" customHeight="1" thickBot="1" x14ac:dyDescent="0.4">
      <c r="A2" s="276"/>
      <c r="B2" s="277"/>
      <c r="C2" s="277"/>
      <c r="D2" s="277"/>
      <c r="E2" s="261"/>
      <c r="F2" s="35" t="s">
        <v>0</v>
      </c>
      <c r="G2" s="34" t="s">
        <v>1</v>
      </c>
      <c r="H2" s="36" t="s">
        <v>2</v>
      </c>
      <c r="I2" s="262" t="s">
        <v>275</v>
      </c>
      <c r="J2" s="159" t="s">
        <v>271</v>
      </c>
      <c r="K2" s="109" t="s">
        <v>259</v>
      </c>
      <c r="L2" s="107" t="s">
        <v>123</v>
      </c>
      <c r="M2" s="280" t="s">
        <v>138</v>
      </c>
      <c r="N2" s="108" t="s">
        <v>260</v>
      </c>
      <c r="O2" s="108" t="s">
        <v>256</v>
      </c>
      <c r="P2" s="172" t="s">
        <v>257</v>
      </c>
      <c r="Q2" s="107" t="s">
        <v>136</v>
      </c>
      <c r="R2" s="28" t="s">
        <v>278</v>
      </c>
      <c r="T2" s="161"/>
      <c r="U2" s="161"/>
    </row>
    <row r="3" spans="1:22" ht="16.5" customHeight="1" x14ac:dyDescent="0.35">
      <c r="A3" s="278"/>
      <c r="B3" s="279"/>
      <c r="C3" s="279"/>
      <c r="D3" s="279"/>
      <c r="E3" s="162"/>
      <c r="F3" s="163"/>
      <c r="G3" s="164"/>
      <c r="H3" s="165"/>
      <c r="I3" s="166"/>
      <c r="J3" s="168"/>
      <c r="K3" s="169"/>
      <c r="L3" s="167"/>
      <c r="M3" s="281"/>
      <c r="N3" s="171">
        <v>1</v>
      </c>
      <c r="O3" s="171">
        <v>3</v>
      </c>
      <c r="P3" s="173">
        <v>3</v>
      </c>
      <c r="Q3" s="176">
        <f>N3+O3+P3</f>
        <v>7</v>
      </c>
      <c r="R3" s="170"/>
      <c r="T3" s="223"/>
      <c r="U3" s="223"/>
    </row>
    <row r="4" spans="1:22" ht="23.4" customHeight="1" x14ac:dyDescent="0.35">
      <c r="A4" s="32"/>
      <c r="B4" s="231"/>
      <c r="C4" s="2"/>
      <c r="D4" s="25" t="s">
        <v>281</v>
      </c>
      <c r="E4" s="52"/>
      <c r="F4" s="53"/>
      <c r="G4" s="52"/>
      <c r="H4" s="52"/>
      <c r="I4" s="52"/>
      <c r="J4" s="236"/>
      <c r="K4" s="236"/>
      <c r="L4" s="237"/>
      <c r="M4" s="238"/>
      <c r="N4" s="237"/>
      <c r="O4" s="237"/>
      <c r="P4" s="256"/>
      <c r="Q4" s="259"/>
      <c r="R4" s="260"/>
      <c r="T4" s="161"/>
      <c r="U4" s="161"/>
    </row>
    <row r="5" spans="1:22" s="43" customFormat="1" ht="23.4" customHeight="1" x14ac:dyDescent="0.35">
      <c r="A5" s="232"/>
      <c r="B5" s="229"/>
      <c r="C5" s="6"/>
      <c r="D5" s="7" t="s">
        <v>390</v>
      </c>
      <c r="E5" s="8"/>
      <c r="F5" s="9"/>
      <c r="G5" s="8"/>
      <c r="H5" s="10"/>
      <c r="I5" s="30">
        <v>2524909</v>
      </c>
      <c r="J5" s="194">
        <f>Q5</f>
        <v>490954.33333333331</v>
      </c>
      <c r="K5" s="195">
        <f t="shared" ref="K5" si="0">I5-J5</f>
        <v>2033954.6666666667</v>
      </c>
      <c r="L5" s="90"/>
      <c r="M5" s="119"/>
      <c r="N5" s="233"/>
      <c r="O5" s="233">
        <f>210409+(210409/3)</f>
        <v>280545.33333333331</v>
      </c>
      <c r="P5" s="257">
        <f>210409</f>
        <v>210409</v>
      </c>
      <c r="Q5" s="234">
        <f>SUM(N5:P5)</f>
        <v>490954.33333333331</v>
      </c>
      <c r="R5" s="45">
        <f t="shared" ref="R5" si="1">Q5/I5</f>
        <v>0.19444436743396823</v>
      </c>
      <c r="T5" s="235"/>
      <c r="U5" s="235"/>
    </row>
    <row r="6" spans="1:22" s="43" customFormat="1" ht="23.4" customHeight="1" x14ac:dyDescent="0.35">
      <c r="A6" s="232"/>
      <c r="B6" s="229"/>
      <c r="C6" s="239"/>
      <c r="D6" s="3" t="s">
        <v>391</v>
      </c>
      <c r="E6" s="228"/>
      <c r="F6" s="240"/>
      <c r="G6" s="228"/>
      <c r="H6" s="241"/>
      <c r="I6" s="242"/>
      <c r="J6" s="243"/>
      <c r="K6" s="244"/>
      <c r="L6" s="245"/>
      <c r="M6" s="270"/>
      <c r="N6" s="246"/>
      <c r="O6" s="246"/>
      <c r="P6" s="247"/>
      <c r="Q6" s="248">
        <f>Q5</f>
        <v>490954.33333333331</v>
      </c>
      <c r="R6" s="249">
        <f>R5</f>
        <v>0.19444436743396823</v>
      </c>
      <c r="T6" s="235"/>
      <c r="U6" s="235"/>
    </row>
    <row r="7" spans="1:22" ht="23.4" customHeight="1" x14ac:dyDescent="0.35">
      <c r="A7" s="32" t="s">
        <v>3</v>
      </c>
      <c r="B7" s="230"/>
      <c r="C7" s="33"/>
      <c r="D7" s="46" t="s">
        <v>4</v>
      </c>
      <c r="E7" s="47"/>
      <c r="F7" s="48"/>
      <c r="G7" s="47"/>
      <c r="H7" s="49"/>
      <c r="I7" s="50"/>
      <c r="J7" s="160"/>
      <c r="K7" s="110"/>
      <c r="L7" s="86"/>
      <c r="M7" s="111"/>
      <c r="N7" s="112"/>
      <c r="O7" s="112"/>
      <c r="P7" s="174"/>
      <c r="Q7" s="124"/>
      <c r="R7" s="51"/>
      <c r="T7" s="161"/>
      <c r="U7" s="161"/>
    </row>
    <row r="8" spans="1:22" ht="23.4" customHeight="1" x14ac:dyDescent="0.35">
      <c r="A8" s="4"/>
      <c r="B8" s="64" t="s">
        <v>5</v>
      </c>
      <c r="C8" s="6"/>
      <c r="D8" s="7" t="s">
        <v>6</v>
      </c>
      <c r="E8" s="8"/>
      <c r="F8" s="9"/>
      <c r="G8" s="8"/>
      <c r="H8" s="10"/>
      <c r="I8" s="30"/>
      <c r="J8" s="190"/>
      <c r="K8" s="191"/>
      <c r="L8" s="87"/>
      <c r="M8" s="113"/>
      <c r="N8" s="114"/>
      <c r="O8" s="114"/>
      <c r="P8" s="175"/>
      <c r="Q8" s="125"/>
      <c r="R8" s="38"/>
      <c r="T8" s="161"/>
      <c r="U8" s="161"/>
    </row>
    <row r="9" spans="1:22" ht="23.4" customHeight="1" x14ac:dyDescent="0.35">
      <c r="A9" s="4"/>
      <c r="B9" s="231" t="s">
        <v>282</v>
      </c>
      <c r="C9" s="11"/>
      <c r="D9" s="12" t="s">
        <v>7</v>
      </c>
      <c r="E9" s="8" t="s">
        <v>8</v>
      </c>
      <c r="F9" s="9">
        <v>1500</v>
      </c>
      <c r="G9" s="8">
        <v>4</v>
      </c>
      <c r="H9" s="10">
        <v>31</v>
      </c>
      <c r="I9" s="30">
        <f>F9*G9*H9</f>
        <v>186000</v>
      </c>
      <c r="J9" s="192">
        <f>Q9</f>
        <v>15000</v>
      </c>
      <c r="K9" s="193">
        <f t="shared" ref="K9:K15" si="2">I9-J9</f>
        <v>171000</v>
      </c>
      <c r="L9" s="87" t="e">
        <f>IF(#REF!="","",I9-#REF!)</f>
        <v>#REF!</v>
      </c>
      <c r="M9" s="282" t="s">
        <v>268</v>
      </c>
      <c r="N9" s="207">
        <v>0</v>
      </c>
      <c r="O9" s="207">
        <f t="shared" ref="O9:O14" si="3">F9</f>
        <v>1500</v>
      </c>
      <c r="P9" s="208">
        <f>F9*3+F9*3*2</f>
        <v>13500</v>
      </c>
      <c r="Q9" s="199">
        <f>SUM(N9:P9)</f>
        <v>15000</v>
      </c>
      <c r="R9" s="39">
        <f t="shared" ref="R9:R15" si="4">Q9/I9</f>
        <v>8.0645161290322578E-2</v>
      </c>
      <c r="T9" s="224"/>
      <c r="U9" s="224"/>
      <c r="V9" s="224"/>
    </row>
    <row r="10" spans="1:22" ht="23.4" customHeight="1" x14ac:dyDescent="0.35">
      <c r="A10" s="4"/>
      <c r="B10" s="231" t="s">
        <v>283</v>
      </c>
      <c r="C10" s="11"/>
      <c r="D10" s="12" t="s">
        <v>9</v>
      </c>
      <c r="E10" s="8" t="s">
        <v>8</v>
      </c>
      <c r="F10" s="9">
        <v>1000</v>
      </c>
      <c r="G10" s="8">
        <v>4</v>
      </c>
      <c r="H10" s="10">
        <v>31</v>
      </c>
      <c r="I10" s="30">
        <f t="shared" ref="I10:I14" si="5">F10*G10*H10</f>
        <v>124000</v>
      </c>
      <c r="J10" s="192">
        <f t="shared" ref="J10:J14" si="6">Q10</f>
        <v>10000</v>
      </c>
      <c r="K10" s="193">
        <f t="shared" si="2"/>
        <v>114000</v>
      </c>
      <c r="L10" s="87" t="e">
        <f>IF(#REF!="","",I10-#REF!)</f>
        <v>#REF!</v>
      </c>
      <c r="M10" s="282"/>
      <c r="N10" s="207">
        <v>0</v>
      </c>
      <c r="O10" s="207">
        <f t="shared" si="3"/>
        <v>1000</v>
      </c>
      <c r="P10" s="208">
        <f t="shared" ref="P10:P14" si="7">F10*3+F10*3*2</f>
        <v>9000</v>
      </c>
      <c r="Q10" s="199">
        <f t="shared" ref="Q10:Q14" si="8">SUM(N10:P10)</f>
        <v>10000</v>
      </c>
      <c r="R10" s="39">
        <f t="shared" si="4"/>
        <v>8.0645161290322578E-2</v>
      </c>
      <c r="T10" s="224"/>
      <c r="U10" s="224"/>
      <c r="V10" s="224"/>
    </row>
    <row r="11" spans="1:22" ht="23.4" customHeight="1" x14ac:dyDescent="0.35">
      <c r="A11" s="4"/>
      <c r="B11" s="231" t="s">
        <v>284</v>
      </c>
      <c r="C11" s="11"/>
      <c r="D11" s="12" t="s">
        <v>10</v>
      </c>
      <c r="E11" s="8" t="s">
        <v>8</v>
      </c>
      <c r="F11" s="9">
        <v>1000</v>
      </c>
      <c r="G11" s="8">
        <v>4</v>
      </c>
      <c r="H11" s="10">
        <v>31</v>
      </c>
      <c r="I11" s="30">
        <f t="shared" si="5"/>
        <v>124000</v>
      </c>
      <c r="J11" s="192">
        <f t="shared" si="6"/>
        <v>10000</v>
      </c>
      <c r="K11" s="193">
        <f t="shared" si="2"/>
        <v>114000</v>
      </c>
      <c r="L11" s="87" t="e">
        <f>IF(#REF!="","",I11-#REF!)</f>
        <v>#REF!</v>
      </c>
      <c r="M11" s="282"/>
      <c r="N11" s="207">
        <v>0</v>
      </c>
      <c r="O11" s="207">
        <f t="shared" si="3"/>
        <v>1000</v>
      </c>
      <c r="P11" s="208">
        <f t="shared" si="7"/>
        <v>9000</v>
      </c>
      <c r="Q11" s="199">
        <f t="shared" si="8"/>
        <v>10000</v>
      </c>
      <c r="R11" s="39">
        <f t="shared" si="4"/>
        <v>8.0645161290322578E-2</v>
      </c>
      <c r="T11" s="224"/>
      <c r="U11" s="224"/>
      <c r="V11" s="224"/>
    </row>
    <row r="12" spans="1:22" ht="23.4" customHeight="1" x14ac:dyDescent="0.35">
      <c r="A12" s="4"/>
      <c r="B12" s="231" t="s">
        <v>285</v>
      </c>
      <c r="C12" s="11"/>
      <c r="D12" s="12" t="s">
        <v>11</v>
      </c>
      <c r="E12" s="8" t="s">
        <v>8</v>
      </c>
      <c r="F12" s="9">
        <v>1000</v>
      </c>
      <c r="G12" s="8">
        <v>4</v>
      </c>
      <c r="H12" s="10">
        <v>31</v>
      </c>
      <c r="I12" s="30">
        <f t="shared" si="5"/>
        <v>124000</v>
      </c>
      <c r="J12" s="192">
        <f t="shared" si="6"/>
        <v>10000</v>
      </c>
      <c r="K12" s="193">
        <f t="shared" si="2"/>
        <v>114000</v>
      </c>
      <c r="L12" s="87" t="e">
        <f>IF(#REF!="","",I12-#REF!)</f>
        <v>#REF!</v>
      </c>
      <c r="M12" s="282"/>
      <c r="N12" s="207">
        <v>0</v>
      </c>
      <c r="O12" s="207">
        <f t="shared" si="3"/>
        <v>1000</v>
      </c>
      <c r="P12" s="208">
        <f t="shared" si="7"/>
        <v>9000</v>
      </c>
      <c r="Q12" s="199">
        <f t="shared" si="8"/>
        <v>10000</v>
      </c>
      <c r="R12" s="39">
        <f t="shared" si="4"/>
        <v>8.0645161290322578E-2</v>
      </c>
      <c r="T12" s="224"/>
      <c r="U12" s="224"/>
      <c r="V12" s="224"/>
    </row>
    <row r="13" spans="1:22" ht="23.4" customHeight="1" x14ac:dyDescent="0.35">
      <c r="A13" s="4"/>
      <c r="B13" s="231" t="s">
        <v>286</v>
      </c>
      <c r="C13" s="11"/>
      <c r="D13" s="12" t="s">
        <v>12</v>
      </c>
      <c r="E13" s="8" t="s">
        <v>8</v>
      </c>
      <c r="F13" s="9">
        <v>1000</v>
      </c>
      <c r="G13" s="8">
        <v>4</v>
      </c>
      <c r="H13" s="10">
        <v>31</v>
      </c>
      <c r="I13" s="30">
        <f t="shared" si="5"/>
        <v>124000</v>
      </c>
      <c r="J13" s="192">
        <f t="shared" si="6"/>
        <v>10000</v>
      </c>
      <c r="K13" s="193">
        <f t="shared" si="2"/>
        <v>114000</v>
      </c>
      <c r="L13" s="87" t="e">
        <f>IF(#REF!="","",I13-#REF!)</f>
        <v>#REF!</v>
      </c>
      <c r="M13" s="282"/>
      <c r="N13" s="207">
        <v>0</v>
      </c>
      <c r="O13" s="207">
        <f t="shared" si="3"/>
        <v>1000</v>
      </c>
      <c r="P13" s="208">
        <f t="shared" si="7"/>
        <v>9000</v>
      </c>
      <c r="Q13" s="199">
        <f t="shared" si="8"/>
        <v>10000</v>
      </c>
      <c r="R13" s="39">
        <f t="shared" si="4"/>
        <v>8.0645161290322578E-2</v>
      </c>
      <c r="T13" s="224"/>
      <c r="U13" s="224"/>
      <c r="V13" s="224"/>
    </row>
    <row r="14" spans="1:22" ht="23.4" customHeight="1" x14ac:dyDescent="0.35">
      <c r="A14" s="4"/>
      <c r="B14" s="231" t="s">
        <v>287</v>
      </c>
      <c r="C14" s="11"/>
      <c r="D14" s="12" t="s">
        <v>13</v>
      </c>
      <c r="E14" s="8" t="s">
        <v>8</v>
      </c>
      <c r="F14" s="9">
        <v>1000</v>
      </c>
      <c r="G14" s="8">
        <v>4</v>
      </c>
      <c r="H14" s="10">
        <v>31</v>
      </c>
      <c r="I14" s="30">
        <f t="shared" si="5"/>
        <v>124000</v>
      </c>
      <c r="J14" s="192">
        <f t="shared" si="6"/>
        <v>10000</v>
      </c>
      <c r="K14" s="193">
        <f t="shared" si="2"/>
        <v>114000</v>
      </c>
      <c r="L14" s="87" t="e">
        <f>IF(#REF!="","",I14-#REF!)</f>
        <v>#REF!</v>
      </c>
      <c r="M14" s="282"/>
      <c r="N14" s="207">
        <v>0</v>
      </c>
      <c r="O14" s="207">
        <f t="shared" si="3"/>
        <v>1000</v>
      </c>
      <c r="P14" s="208">
        <f t="shared" si="7"/>
        <v>9000</v>
      </c>
      <c r="Q14" s="199">
        <f t="shared" si="8"/>
        <v>10000</v>
      </c>
      <c r="R14" s="39">
        <f t="shared" si="4"/>
        <v>8.0645161290322578E-2</v>
      </c>
      <c r="T14" s="224"/>
      <c r="U14" s="224"/>
      <c r="V14" s="224"/>
    </row>
    <row r="15" spans="1:22" ht="23.4" customHeight="1" x14ac:dyDescent="0.35">
      <c r="A15" s="14"/>
      <c r="B15" s="231"/>
      <c r="C15" s="3"/>
      <c r="D15" s="25" t="s">
        <v>306</v>
      </c>
      <c r="E15" s="52"/>
      <c r="F15" s="53"/>
      <c r="G15" s="52"/>
      <c r="H15" s="54">
        <f>SUM(H9:H14)</f>
        <v>186</v>
      </c>
      <c r="I15" s="27">
        <f>SUM(I9:I14)</f>
        <v>806000</v>
      </c>
      <c r="J15" s="177">
        <f>Q15</f>
        <v>65000</v>
      </c>
      <c r="K15" s="178">
        <f t="shared" si="2"/>
        <v>741000</v>
      </c>
      <c r="L15" s="88" t="e">
        <f>IF(#REF!="","",I15-#REF!)</f>
        <v>#REF!</v>
      </c>
      <c r="M15" s="115"/>
      <c r="N15" s="209"/>
      <c r="O15" s="209"/>
      <c r="P15" s="210"/>
      <c r="Q15" s="200">
        <f>Q14+Q13+Q12+Q11+Q10+Q9</f>
        <v>65000</v>
      </c>
      <c r="R15" s="55">
        <f t="shared" si="4"/>
        <v>8.0645161290322578E-2</v>
      </c>
      <c r="T15" s="224"/>
      <c r="U15" s="224"/>
      <c r="V15" s="224"/>
    </row>
    <row r="16" spans="1:22" ht="23.4" customHeight="1" x14ac:dyDescent="0.35">
      <c r="A16" s="4"/>
      <c r="B16" s="64" t="s">
        <v>14</v>
      </c>
      <c r="C16" s="6"/>
      <c r="D16" s="7" t="s">
        <v>15</v>
      </c>
      <c r="E16" s="8"/>
      <c r="F16" s="9"/>
      <c r="G16" s="8"/>
      <c r="H16" s="10"/>
      <c r="I16" s="30"/>
      <c r="J16" s="190"/>
      <c r="K16" s="191"/>
      <c r="L16" s="87" t="e">
        <f>IF(#REF!="","",I16-#REF!)</f>
        <v>#REF!</v>
      </c>
      <c r="M16" s="113"/>
      <c r="N16" s="207"/>
      <c r="O16" s="207"/>
      <c r="P16" s="208"/>
      <c r="Q16" s="199"/>
      <c r="R16" s="39"/>
      <c r="T16" s="224"/>
      <c r="U16" s="224"/>
      <c r="V16" s="224"/>
    </row>
    <row r="17" spans="1:22" ht="23.4" customHeight="1" x14ac:dyDescent="0.35">
      <c r="A17" s="4">
        <v>8</v>
      </c>
      <c r="B17" s="231" t="s">
        <v>288</v>
      </c>
      <c r="C17" s="11"/>
      <c r="D17" s="13" t="s">
        <v>16</v>
      </c>
      <c r="E17" s="8" t="s">
        <v>8</v>
      </c>
      <c r="F17" s="9">
        <v>500</v>
      </c>
      <c r="G17" s="8">
        <v>2</v>
      </c>
      <c r="H17" s="10">
        <v>31</v>
      </c>
      <c r="I17" s="30">
        <f>F17*G17*H17</f>
        <v>31000</v>
      </c>
      <c r="J17" s="192">
        <f>Q17</f>
        <v>4000</v>
      </c>
      <c r="K17" s="193">
        <f>I17-J17</f>
        <v>27000</v>
      </c>
      <c r="L17" s="87" t="e">
        <f>IF(#REF!="","",I17-#REF!)</f>
        <v>#REF!</v>
      </c>
      <c r="M17" s="222" t="s">
        <v>276</v>
      </c>
      <c r="N17" s="207">
        <v>0</v>
      </c>
      <c r="O17" s="215">
        <f>F17*G17</f>
        <v>1000</v>
      </c>
      <c r="P17" s="208">
        <f>3*F17*G17</f>
        <v>3000</v>
      </c>
      <c r="Q17" s="199">
        <f>SUM(N17:P17)</f>
        <v>4000</v>
      </c>
      <c r="R17" s="39">
        <f>Q17/I17</f>
        <v>0.12903225806451613</v>
      </c>
      <c r="T17" s="224"/>
      <c r="U17" s="224"/>
      <c r="V17" s="224"/>
    </row>
    <row r="18" spans="1:22" ht="27" customHeight="1" x14ac:dyDescent="0.35">
      <c r="A18" s="4"/>
      <c r="B18" s="231" t="s">
        <v>289</v>
      </c>
      <c r="C18" s="11"/>
      <c r="D18" s="13" t="s">
        <v>17</v>
      </c>
      <c r="E18" s="8" t="s">
        <v>8</v>
      </c>
      <c r="F18" s="9">
        <v>500</v>
      </c>
      <c r="G18" s="8">
        <v>4</v>
      </c>
      <c r="H18" s="10">
        <v>31</v>
      </c>
      <c r="I18" s="30">
        <f>F18*G18*H18</f>
        <v>62000</v>
      </c>
      <c r="J18" s="192">
        <f t="shared" ref="J18" si="9">Q18</f>
        <v>0</v>
      </c>
      <c r="K18" s="193">
        <f>I18-J18</f>
        <v>62000</v>
      </c>
      <c r="L18" s="87" t="e">
        <f>IF(#REF!="","",I18-#REF!)</f>
        <v>#REF!</v>
      </c>
      <c r="M18" s="144"/>
      <c r="N18" s="207">
        <v>0</v>
      </c>
      <c r="O18" s="207">
        <v>0</v>
      </c>
      <c r="P18" s="208">
        <v>0</v>
      </c>
      <c r="Q18" s="199">
        <f>SUM(N18:P18)</f>
        <v>0</v>
      </c>
      <c r="R18" s="39">
        <f>Q18/I18</f>
        <v>0</v>
      </c>
      <c r="T18" s="224"/>
      <c r="U18" s="224"/>
      <c r="V18" s="224"/>
    </row>
    <row r="19" spans="1:22" ht="23.4" customHeight="1" x14ac:dyDescent="0.35">
      <c r="A19" s="14"/>
      <c r="B19" s="231"/>
      <c r="C19" s="2"/>
      <c r="D19" s="25" t="s">
        <v>307</v>
      </c>
      <c r="E19" s="52"/>
      <c r="F19" s="53"/>
      <c r="G19" s="52">
        <f>SUM(G17:G18)</f>
        <v>6</v>
      </c>
      <c r="H19" s="54">
        <f>SUM(H17:H18)</f>
        <v>62</v>
      </c>
      <c r="I19" s="27">
        <f>SUM(I17:I18)</f>
        <v>93000</v>
      </c>
      <c r="J19" s="177">
        <f>Q19</f>
        <v>4000</v>
      </c>
      <c r="K19" s="178">
        <f>I19-J19</f>
        <v>89000</v>
      </c>
      <c r="L19" s="88" t="e">
        <f>IF(#REF!="","",I19-#REF!)</f>
        <v>#REF!</v>
      </c>
      <c r="M19" s="115"/>
      <c r="N19" s="209"/>
      <c r="O19" s="209"/>
      <c r="P19" s="210"/>
      <c r="Q19" s="200">
        <f>Q17+Q18</f>
        <v>4000</v>
      </c>
      <c r="R19" s="55">
        <f>Q19/I19</f>
        <v>4.3010752688172046E-2</v>
      </c>
      <c r="T19" s="224"/>
      <c r="U19" s="224"/>
      <c r="V19" s="224"/>
    </row>
    <row r="20" spans="1:22" ht="23.4" customHeight="1" x14ac:dyDescent="0.35">
      <c r="A20" s="4"/>
      <c r="B20" s="64" t="s">
        <v>18</v>
      </c>
      <c r="C20" s="6"/>
      <c r="D20" s="7" t="s">
        <v>19</v>
      </c>
      <c r="E20" s="8"/>
      <c r="F20" s="9"/>
      <c r="G20" s="8"/>
      <c r="H20" s="10"/>
      <c r="I20" s="30"/>
      <c r="J20" s="194"/>
      <c r="K20" s="195"/>
      <c r="L20" s="87" t="e">
        <f>IF(#REF!="","",I20-#REF!)</f>
        <v>#REF!</v>
      </c>
      <c r="M20" s="113"/>
      <c r="N20" s="207"/>
      <c r="O20" s="207"/>
      <c r="P20" s="208"/>
      <c r="Q20" s="199"/>
      <c r="R20" s="39"/>
      <c r="T20" s="224"/>
      <c r="U20" s="224"/>
      <c r="V20" s="224"/>
    </row>
    <row r="21" spans="1:22" ht="23.4" customHeight="1" x14ac:dyDescent="0.35">
      <c r="A21" s="4"/>
      <c r="B21" s="231" t="s">
        <v>290</v>
      </c>
      <c r="C21" s="11"/>
      <c r="D21" s="13" t="s">
        <v>20</v>
      </c>
      <c r="E21" s="8" t="s">
        <v>8</v>
      </c>
      <c r="F21" s="9">
        <v>100</v>
      </c>
      <c r="G21" s="8">
        <v>24</v>
      </c>
      <c r="H21" s="10">
        <v>31</v>
      </c>
      <c r="I21" s="30">
        <f>F21*G21*H21</f>
        <v>74400</v>
      </c>
      <c r="J21" s="192">
        <f t="shared" ref="J21:J24" si="10">Q21</f>
        <v>6000</v>
      </c>
      <c r="K21" s="193">
        <f>I21-J21</f>
        <v>68400</v>
      </c>
      <c r="L21" s="87" t="e">
        <f>IF(#REF!="","",I21-#REF!)</f>
        <v>#REF!</v>
      </c>
      <c r="M21" s="282" t="s">
        <v>269</v>
      </c>
      <c r="N21" s="207">
        <v>0</v>
      </c>
      <c r="O21" s="207">
        <f>F21*G21/4</f>
        <v>600</v>
      </c>
      <c r="P21" s="208">
        <f>F21*G21/4*3+F21*G21/4*3*2</f>
        <v>5400</v>
      </c>
      <c r="Q21" s="199">
        <f>SUM(N21:P21)</f>
        <v>6000</v>
      </c>
      <c r="R21" s="39">
        <f>Q21/I21</f>
        <v>8.0645161290322578E-2</v>
      </c>
      <c r="T21" s="224"/>
      <c r="U21" s="224"/>
      <c r="V21" s="224"/>
    </row>
    <row r="22" spans="1:22" ht="23.4" customHeight="1" x14ac:dyDescent="0.35">
      <c r="A22" s="4"/>
      <c r="B22" s="231" t="s">
        <v>291</v>
      </c>
      <c r="C22" s="11"/>
      <c r="D22" s="13" t="s">
        <v>292</v>
      </c>
      <c r="E22" s="8" t="s">
        <v>21</v>
      </c>
      <c r="F22" s="9">
        <v>20</v>
      </c>
      <c r="G22" s="8">
        <v>10</v>
      </c>
      <c r="H22" s="10">
        <v>558</v>
      </c>
      <c r="I22" s="30">
        <f>F22*G22*H22</f>
        <v>111600</v>
      </c>
      <c r="J22" s="192">
        <f t="shared" si="10"/>
        <v>14400</v>
      </c>
      <c r="K22" s="193">
        <f>I22-J22</f>
        <v>97200</v>
      </c>
      <c r="L22" s="87" t="e">
        <f>IF(#REF!="","",I22-#REF!)</f>
        <v>#REF!</v>
      </c>
      <c r="M22" s="282"/>
      <c r="N22" s="207">
        <v>0</v>
      </c>
      <c r="O22" s="215">
        <f>F22*G22*H22/31</f>
        <v>3600</v>
      </c>
      <c r="P22" s="208">
        <f>F22*G22*H22*3/31</f>
        <v>10800</v>
      </c>
      <c r="Q22" s="199">
        <f>SUM(N22:P22)</f>
        <v>14400</v>
      </c>
      <c r="R22" s="39">
        <f>Q22/I22</f>
        <v>0.12903225806451613</v>
      </c>
      <c r="T22" s="224"/>
      <c r="U22" s="224"/>
      <c r="V22" s="224"/>
    </row>
    <row r="23" spans="1:22" ht="23.4" customHeight="1" x14ac:dyDescent="0.35">
      <c r="A23" s="14"/>
      <c r="B23" s="231"/>
      <c r="C23" s="2"/>
      <c r="D23" s="25" t="s">
        <v>308</v>
      </c>
      <c r="E23" s="52"/>
      <c r="F23" s="53"/>
      <c r="G23" s="52"/>
      <c r="H23" s="54"/>
      <c r="I23" s="27">
        <f>SUM(I21:I22)</f>
        <v>186000</v>
      </c>
      <c r="J23" s="177">
        <f t="shared" si="10"/>
        <v>20400</v>
      </c>
      <c r="K23" s="178">
        <f>I23-J23</f>
        <v>165600</v>
      </c>
      <c r="L23" s="88" t="e">
        <f>IF(#REF!="","",I23-#REF!)</f>
        <v>#REF!</v>
      </c>
      <c r="M23" s="115"/>
      <c r="N23" s="209"/>
      <c r="O23" s="209"/>
      <c r="P23" s="210"/>
      <c r="Q23" s="200">
        <f>Q22+Q21</f>
        <v>20400</v>
      </c>
      <c r="R23" s="55">
        <f>Q23/I23</f>
        <v>0.10967741935483871</v>
      </c>
      <c r="T23" s="224"/>
      <c r="U23" s="224"/>
      <c r="V23" s="224"/>
    </row>
    <row r="24" spans="1:22" ht="23.4" customHeight="1" x14ac:dyDescent="0.35">
      <c r="A24" s="15"/>
      <c r="B24" s="64"/>
      <c r="C24" s="16"/>
      <c r="D24" s="63" t="s">
        <v>270</v>
      </c>
      <c r="E24" s="64"/>
      <c r="F24" s="65"/>
      <c r="G24" s="64"/>
      <c r="H24" s="66"/>
      <c r="I24" s="67">
        <f>I15+I19+I23</f>
        <v>1085000</v>
      </c>
      <c r="J24" s="179">
        <f t="shared" si="10"/>
        <v>89400</v>
      </c>
      <c r="K24" s="180">
        <f>I24-J24</f>
        <v>995600</v>
      </c>
      <c r="L24" s="116" t="e">
        <f>IF(#REF!="","",I24-#REF!)</f>
        <v>#REF!</v>
      </c>
      <c r="M24" s="117"/>
      <c r="N24" s="211"/>
      <c r="O24" s="211"/>
      <c r="P24" s="212"/>
      <c r="Q24" s="201">
        <f>Q15+Q19+Q23</f>
        <v>89400</v>
      </c>
      <c r="R24" s="68">
        <f>Q24/I24</f>
        <v>8.2396313364055299E-2</v>
      </c>
      <c r="T24" s="224"/>
      <c r="U24" s="224"/>
      <c r="V24" s="224"/>
    </row>
    <row r="25" spans="1:22" ht="23.4" customHeight="1" x14ac:dyDescent="0.35">
      <c r="A25" s="1" t="s">
        <v>258</v>
      </c>
      <c r="B25" s="64"/>
      <c r="C25" s="2"/>
      <c r="D25" s="25" t="s">
        <v>22</v>
      </c>
      <c r="E25" s="52"/>
      <c r="F25" s="53"/>
      <c r="G25" s="52"/>
      <c r="H25" s="54"/>
      <c r="I25" s="181"/>
      <c r="J25" s="182"/>
      <c r="K25" s="183"/>
      <c r="L25" s="88" t="e">
        <f>IF(#REF!="","",I25-#REF!)</f>
        <v>#REF!</v>
      </c>
      <c r="M25" s="115"/>
      <c r="N25" s="209"/>
      <c r="O25" s="209"/>
      <c r="P25" s="210"/>
      <c r="Q25" s="202"/>
      <c r="R25" s="69"/>
      <c r="T25" s="224"/>
      <c r="U25" s="224"/>
      <c r="V25" s="224"/>
    </row>
    <row r="26" spans="1:22" ht="23.4" customHeight="1" x14ac:dyDescent="0.35">
      <c r="A26" s="15"/>
      <c r="B26" s="64"/>
      <c r="C26" s="16"/>
      <c r="D26" s="57" t="s">
        <v>23</v>
      </c>
      <c r="E26" s="58"/>
      <c r="F26" s="59"/>
      <c r="G26" s="58"/>
      <c r="H26" s="60"/>
      <c r="I26" s="61">
        <v>0</v>
      </c>
      <c r="J26" s="184">
        <f>Q26</f>
        <v>0</v>
      </c>
      <c r="K26" s="185">
        <f>I26-J26</f>
        <v>0</v>
      </c>
      <c r="L26" s="89" t="e">
        <f>IF(#REF!="","",I26-#REF!)</f>
        <v>#REF!</v>
      </c>
      <c r="M26" s="118"/>
      <c r="N26" s="213"/>
      <c r="O26" s="213"/>
      <c r="P26" s="214"/>
      <c r="Q26" s="203"/>
      <c r="R26" s="70"/>
      <c r="T26" s="224"/>
      <c r="U26" s="224"/>
      <c r="V26" s="224"/>
    </row>
    <row r="27" spans="1:22" ht="23.4" customHeight="1" x14ac:dyDescent="0.35">
      <c r="A27" s="1" t="s">
        <v>24</v>
      </c>
      <c r="B27" s="64" t="s">
        <v>82</v>
      </c>
      <c r="C27" s="2"/>
      <c r="D27" s="25" t="s">
        <v>25</v>
      </c>
      <c r="E27" s="52"/>
      <c r="F27" s="53"/>
      <c r="G27" s="52"/>
      <c r="H27" s="54"/>
      <c r="I27" s="181"/>
      <c r="J27" s="182"/>
      <c r="K27" s="183"/>
      <c r="L27" s="88" t="e">
        <f>IF(#REF!="","",I27-#REF!)</f>
        <v>#REF!</v>
      </c>
      <c r="M27" s="115"/>
      <c r="N27" s="209"/>
      <c r="O27" s="209"/>
      <c r="P27" s="210"/>
      <c r="Q27" s="202"/>
      <c r="R27" s="69"/>
      <c r="T27" s="224"/>
      <c r="U27" s="224"/>
      <c r="V27" s="224"/>
    </row>
    <row r="28" spans="1:22" ht="27" customHeight="1" x14ac:dyDescent="0.35">
      <c r="A28" s="4"/>
      <c r="B28" s="231" t="s">
        <v>309</v>
      </c>
      <c r="C28" s="11" t="s">
        <v>26</v>
      </c>
      <c r="D28" s="13" t="s">
        <v>272</v>
      </c>
      <c r="E28" s="8" t="s">
        <v>27</v>
      </c>
      <c r="F28" s="17">
        <v>65000</v>
      </c>
      <c r="G28" s="8">
        <v>2</v>
      </c>
      <c r="H28" s="10">
        <v>1</v>
      </c>
      <c r="I28" s="30">
        <f t="shared" ref="I28:I35" si="11">F28*G28*H28</f>
        <v>130000</v>
      </c>
      <c r="J28" s="192">
        <f t="shared" ref="J28:J38" si="12">Q28</f>
        <v>110000</v>
      </c>
      <c r="K28" s="193">
        <f t="shared" ref="K28:K38" si="13">I28-J28</f>
        <v>20000</v>
      </c>
      <c r="L28" s="87" t="e">
        <f>IF(#REF!="","",I28-#REF!)</f>
        <v>#REF!</v>
      </c>
      <c r="M28" s="221"/>
      <c r="O28" s="207">
        <v>110000</v>
      </c>
      <c r="P28" s="208">
        <v>0</v>
      </c>
      <c r="Q28" s="199">
        <f>SUM(O28:P28)</f>
        <v>110000</v>
      </c>
      <c r="R28" s="40">
        <f t="shared" ref="R28:R38" si="14">Q28/I28</f>
        <v>0.84615384615384615</v>
      </c>
      <c r="T28" s="224"/>
      <c r="U28" s="224"/>
      <c r="V28" s="224"/>
    </row>
    <row r="29" spans="1:22" ht="23.4" customHeight="1" x14ac:dyDescent="0.35">
      <c r="A29" s="4"/>
      <c r="B29" s="231" t="s">
        <v>310</v>
      </c>
      <c r="C29" s="11" t="s">
        <v>26</v>
      </c>
      <c r="D29" s="13" t="s">
        <v>130</v>
      </c>
      <c r="E29" s="8" t="s">
        <v>131</v>
      </c>
      <c r="F29" s="17">
        <v>4000</v>
      </c>
      <c r="G29" s="8">
        <v>50</v>
      </c>
      <c r="H29" s="10">
        <v>1</v>
      </c>
      <c r="I29" s="30">
        <f t="shared" si="11"/>
        <v>200000</v>
      </c>
      <c r="J29" s="192">
        <f t="shared" si="12"/>
        <v>200000</v>
      </c>
      <c r="K29" s="193">
        <f t="shared" si="13"/>
        <v>0</v>
      </c>
      <c r="L29" s="87" t="e">
        <f>IF(#REF!="","",I29-#REF!)</f>
        <v>#REF!</v>
      </c>
      <c r="M29" s="144" t="s">
        <v>280</v>
      </c>
      <c r="N29" s="207"/>
      <c r="O29" s="207">
        <f>F29*35</f>
        <v>140000</v>
      </c>
      <c r="P29" s="208">
        <f>F29*15</f>
        <v>60000</v>
      </c>
      <c r="Q29" s="199">
        <f t="shared" ref="Q29:Q36" si="15">SUM(N29:P29)</f>
        <v>200000</v>
      </c>
      <c r="R29" s="39">
        <f t="shared" si="14"/>
        <v>1</v>
      </c>
      <c r="T29" s="224"/>
      <c r="U29" s="224"/>
      <c r="V29" s="224"/>
    </row>
    <row r="30" spans="1:22" ht="27" customHeight="1" x14ac:dyDescent="0.35">
      <c r="A30" s="4"/>
      <c r="B30" s="231" t="s">
        <v>311</v>
      </c>
      <c r="C30" s="11" t="s">
        <v>26</v>
      </c>
      <c r="D30" s="13" t="s">
        <v>28</v>
      </c>
      <c r="E30" s="8" t="s">
        <v>27</v>
      </c>
      <c r="F30" s="17">
        <v>130</v>
      </c>
      <c r="G30" s="8">
        <v>4</v>
      </c>
      <c r="H30" s="10">
        <v>20</v>
      </c>
      <c r="I30" s="30">
        <f t="shared" si="11"/>
        <v>10400</v>
      </c>
      <c r="J30" s="192">
        <f t="shared" si="12"/>
        <v>10400</v>
      </c>
      <c r="K30" s="193">
        <f t="shared" si="13"/>
        <v>0</v>
      </c>
      <c r="L30" s="87" t="e">
        <f>IF(#REF!="","",I30-#REF!)</f>
        <v>#REF!</v>
      </c>
      <c r="M30" s="113" t="s">
        <v>137</v>
      </c>
      <c r="N30" s="207"/>
      <c r="O30" s="207">
        <v>2600</v>
      </c>
      <c r="P30" s="208">
        <v>7800</v>
      </c>
      <c r="Q30" s="199">
        <f t="shared" si="15"/>
        <v>10400</v>
      </c>
      <c r="R30" s="39">
        <f t="shared" si="14"/>
        <v>1</v>
      </c>
      <c r="T30" s="224"/>
      <c r="U30" s="224"/>
      <c r="V30" s="224"/>
    </row>
    <row r="31" spans="1:22" ht="23.4" customHeight="1" x14ac:dyDescent="0.35">
      <c r="A31" s="4"/>
      <c r="B31" s="231" t="s">
        <v>312</v>
      </c>
      <c r="C31" s="11" t="s">
        <v>26</v>
      </c>
      <c r="D31" s="13" t="s">
        <v>29</v>
      </c>
      <c r="E31" s="8" t="s">
        <v>27</v>
      </c>
      <c r="F31" s="17">
        <v>25000</v>
      </c>
      <c r="G31" s="8">
        <v>2</v>
      </c>
      <c r="H31" s="10">
        <v>1</v>
      </c>
      <c r="I31" s="30">
        <f>F31*G31*H31+20000</f>
        <v>70000</v>
      </c>
      <c r="J31" s="192">
        <f t="shared" si="12"/>
        <v>70000</v>
      </c>
      <c r="K31" s="193">
        <f t="shared" si="13"/>
        <v>0</v>
      </c>
      <c r="L31" s="87" t="e">
        <f>IF(#REF!="","",I31-#REF!)</f>
        <v>#REF!</v>
      </c>
      <c r="M31" s="219"/>
      <c r="O31" s="207">
        <v>70000</v>
      </c>
      <c r="P31" s="208">
        <v>0</v>
      </c>
      <c r="Q31" s="199">
        <f t="shared" si="15"/>
        <v>70000</v>
      </c>
      <c r="R31" s="39">
        <f t="shared" si="14"/>
        <v>1</v>
      </c>
      <c r="T31" s="224"/>
      <c r="U31" s="224"/>
      <c r="V31" s="224"/>
    </row>
    <row r="32" spans="1:22" ht="23.4" customHeight="1" x14ac:dyDescent="0.35">
      <c r="A32" s="4"/>
      <c r="B32" s="231" t="s">
        <v>313</v>
      </c>
      <c r="C32" s="11" t="s">
        <v>26</v>
      </c>
      <c r="D32" s="13" t="s">
        <v>30</v>
      </c>
      <c r="E32" s="8" t="s">
        <v>27</v>
      </c>
      <c r="F32" s="17">
        <v>75000</v>
      </c>
      <c r="G32" s="8">
        <v>4</v>
      </c>
      <c r="H32" s="10">
        <v>1</v>
      </c>
      <c r="I32" s="30">
        <f>F32*G32*H32-49500-20000</f>
        <v>230500</v>
      </c>
      <c r="J32" s="192">
        <f t="shared" si="12"/>
        <v>0</v>
      </c>
      <c r="K32" s="193">
        <f t="shared" si="13"/>
        <v>230500</v>
      </c>
      <c r="L32" s="87" t="e">
        <f>IF(#REF!="","",I32-#REF!)</f>
        <v>#REF!</v>
      </c>
      <c r="M32" s="144" t="s">
        <v>398</v>
      </c>
      <c r="N32" s="207"/>
      <c r="O32" s="207"/>
      <c r="P32" s="208"/>
      <c r="Q32" s="199">
        <f t="shared" si="15"/>
        <v>0</v>
      </c>
      <c r="R32" s="39">
        <f t="shared" si="14"/>
        <v>0</v>
      </c>
      <c r="T32" s="224"/>
      <c r="U32" s="224"/>
      <c r="V32" s="224"/>
    </row>
    <row r="33" spans="1:28" ht="23.4" customHeight="1" x14ac:dyDescent="0.35">
      <c r="A33" s="4"/>
      <c r="B33" s="231" t="s">
        <v>314</v>
      </c>
      <c r="C33" s="11" t="s">
        <v>26</v>
      </c>
      <c r="D33" s="13" t="s">
        <v>133</v>
      </c>
      <c r="E33" s="8" t="s">
        <v>27</v>
      </c>
      <c r="F33" s="17">
        <v>2000</v>
      </c>
      <c r="G33" s="8">
        <v>20</v>
      </c>
      <c r="H33" s="10">
        <v>1</v>
      </c>
      <c r="I33" s="30">
        <f t="shared" si="11"/>
        <v>40000</v>
      </c>
      <c r="J33" s="192">
        <f t="shared" si="12"/>
        <v>40000</v>
      </c>
      <c r="K33" s="193">
        <f t="shared" si="13"/>
        <v>0</v>
      </c>
      <c r="L33" s="87" t="e">
        <f>IF(#REF!="","",I33-#REF!)</f>
        <v>#REF!</v>
      </c>
      <c r="M33" s="144"/>
      <c r="N33" s="227"/>
      <c r="O33" s="215">
        <v>30000</v>
      </c>
      <c r="P33" s="251">
        <v>10000</v>
      </c>
      <c r="Q33" s="199">
        <f>SUM(O33:P33)</f>
        <v>40000</v>
      </c>
      <c r="R33" s="39">
        <f t="shared" si="14"/>
        <v>1</v>
      </c>
      <c r="T33" s="224"/>
      <c r="U33" s="224"/>
      <c r="V33" s="224"/>
    </row>
    <row r="34" spans="1:28" ht="23.4" customHeight="1" x14ac:dyDescent="0.35">
      <c r="A34" s="4"/>
      <c r="B34" s="231" t="s">
        <v>315</v>
      </c>
      <c r="C34" s="11" t="s">
        <v>26</v>
      </c>
      <c r="D34" s="13" t="s">
        <v>31</v>
      </c>
      <c r="E34" s="8" t="s">
        <v>32</v>
      </c>
      <c r="F34" s="17">
        <v>20000</v>
      </c>
      <c r="G34" s="8">
        <v>1</v>
      </c>
      <c r="H34" s="10">
        <v>1</v>
      </c>
      <c r="I34" s="30">
        <f t="shared" si="11"/>
        <v>20000</v>
      </c>
      <c r="J34" s="192">
        <f t="shared" si="12"/>
        <v>25000</v>
      </c>
      <c r="K34" s="193">
        <f t="shared" si="13"/>
        <v>-5000</v>
      </c>
      <c r="L34" s="87" t="e">
        <f>IF(#REF!="","",I34-#REF!)</f>
        <v>#REF!</v>
      </c>
      <c r="M34" s="113"/>
      <c r="N34" s="227"/>
      <c r="O34" s="215">
        <v>25000</v>
      </c>
      <c r="P34" s="208">
        <v>0</v>
      </c>
      <c r="Q34" s="199">
        <f>SUM(O34:P34)</f>
        <v>25000</v>
      </c>
      <c r="R34" s="39">
        <f t="shared" si="14"/>
        <v>1.25</v>
      </c>
      <c r="T34" s="224"/>
      <c r="U34" s="224"/>
      <c r="V34" s="224"/>
    </row>
    <row r="35" spans="1:28" ht="23.4" customHeight="1" x14ac:dyDescent="0.35">
      <c r="A35" s="4"/>
      <c r="B35" s="231" t="s">
        <v>316</v>
      </c>
      <c r="C35" s="11" t="s">
        <v>26</v>
      </c>
      <c r="D35" s="13" t="s">
        <v>273</v>
      </c>
      <c r="E35" s="8" t="s">
        <v>27</v>
      </c>
      <c r="F35" s="17">
        <v>600</v>
      </c>
      <c r="G35" s="8">
        <v>20</v>
      </c>
      <c r="H35" s="10">
        <v>1</v>
      </c>
      <c r="I35" s="30">
        <f t="shared" si="11"/>
        <v>12000</v>
      </c>
      <c r="J35" s="192">
        <f t="shared" si="12"/>
        <v>12000</v>
      </c>
      <c r="K35" s="193">
        <f t="shared" si="13"/>
        <v>0</v>
      </c>
      <c r="L35" s="87" t="e">
        <f>IF(#REF!="","",I35-#REF!)</f>
        <v>#REF!</v>
      </c>
      <c r="M35" s="144"/>
      <c r="O35" s="207">
        <f>F35*G35</f>
        <v>12000</v>
      </c>
      <c r="P35" s="208">
        <v>0</v>
      </c>
      <c r="Q35" s="199">
        <f>SUM(O35:P35)</f>
        <v>12000</v>
      </c>
      <c r="R35" s="39">
        <f t="shared" si="14"/>
        <v>1</v>
      </c>
      <c r="T35" s="224"/>
      <c r="U35" s="224"/>
      <c r="V35" s="224"/>
    </row>
    <row r="36" spans="1:28" ht="23.4" customHeight="1" x14ac:dyDescent="0.35">
      <c r="A36" s="4"/>
      <c r="B36" s="231" t="s">
        <v>317</v>
      </c>
      <c r="C36" s="11" t="s">
        <v>26</v>
      </c>
      <c r="D36" s="13" t="s">
        <v>33</v>
      </c>
      <c r="E36" s="8" t="s">
        <v>27</v>
      </c>
      <c r="F36" s="17">
        <v>1500</v>
      </c>
      <c r="G36" s="8">
        <v>5</v>
      </c>
      <c r="H36" s="10">
        <v>1</v>
      </c>
      <c r="I36" s="30">
        <f>F36*G36*H36+49500</f>
        <v>57000</v>
      </c>
      <c r="J36" s="192">
        <f t="shared" si="12"/>
        <v>42500</v>
      </c>
      <c r="K36" s="193">
        <f t="shared" si="13"/>
        <v>14500</v>
      </c>
      <c r="L36" s="87" t="e">
        <f>IF(#REF!="","",I36-#REF!)</f>
        <v>#REF!</v>
      </c>
      <c r="M36" s="222" t="s">
        <v>396</v>
      </c>
      <c r="N36" s="215"/>
      <c r="O36" s="207">
        <v>21250</v>
      </c>
      <c r="P36" s="208">
        <v>21250</v>
      </c>
      <c r="Q36" s="199">
        <f t="shared" si="15"/>
        <v>42500</v>
      </c>
      <c r="R36" s="39">
        <f t="shared" si="14"/>
        <v>0.74561403508771928</v>
      </c>
      <c r="T36" s="224"/>
      <c r="U36" s="224"/>
      <c r="V36" s="224"/>
    </row>
    <row r="37" spans="1:28" ht="23.4" customHeight="1" x14ac:dyDescent="0.35">
      <c r="A37" s="4"/>
      <c r="B37" s="231" t="s">
        <v>318</v>
      </c>
      <c r="C37" s="11" t="s">
        <v>26</v>
      </c>
      <c r="D37" s="13" t="s">
        <v>34</v>
      </c>
      <c r="E37" s="8" t="s">
        <v>27</v>
      </c>
      <c r="F37" s="17">
        <v>75000</v>
      </c>
      <c r="G37" s="8">
        <v>1</v>
      </c>
      <c r="H37" s="10">
        <v>3</v>
      </c>
      <c r="I37" s="30">
        <f>F37*G37*H37</f>
        <v>225000</v>
      </c>
      <c r="J37" s="192">
        <f t="shared" si="12"/>
        <v>15000</v>
      </c>
      <c r="K37" s="193">
        <f t="shared" si="13"/>
        <v>210000</v>
      </c>
      <c r="L37" s="87" t="e">
        <f>IF(#REF!="","",I37-#REF!)</f>
        <v>#REF!</v>
      </c>
      <c r="M37" s="113" t="s">
        <v>293</v>
      </c>
      <c r="N37" s="215"/>
      <c r="O37" s="207">
        <v>5000</v>
      </c>
      <c r="P37" s="208">
        <v>10000</v>
      </c>
      <c r="Q37" s="199">
        <f>SUM(N37:P37)</f>
        <v>15000</v>
      </c>
      <c r="R37" s="39">
        <f t="shared" si="14"/>
        <v>6.6666666666666666E-2</v>
      </c>
      <c r="T37" s="224"/>
      <c r="U37" s="224"/>
      <c r="V37" s="224"/>
    </row>
    <row r="38" spans="1:28" ht="23.4" customHeight="1" x14ac:dyDescent="0.35">
      <c r="A38" s="15"/>
      <c r="B38" s="64"/>
      <c r="C38" s="16"/>
      <c r="D38" s="57" t="s">
        <v>35</v>
      </c>
      <c r="E38" s="58"/>
      <c r="F38" s="59"/>
      <c r="G38" s="58"/>
      <c r="H38" s="60"/>
      <c r="I38" s="61">
        <f>SUM(I28:I37)</f>
        <v>994900</v>
      </c>
      <c r="J38" s="184">
        <f t="shared" si="12"/>
        <v>524900</v>
      </c>
      <c r="K38" s="185">
        <f t="shared" si="13"/>
        <v>470000</v>
      </c>
      <c r="L38" s="89" t="e">
        <f>IF(#REF!="","",I38-#REF!)</f>
        <v>#REF!</v>
      </c>
      <c r="M38" s="118"/>
      <c r="N38" s="213"/>
      <c r="O38" s="213"/>
      <c r="P38" s="214"/>
      <c r="Q38" s="204">
        <f>Q28+Q29+Q30+Q31+Q32+Q33+Q34+Q35+Q36+Q37</f>
        <v>524900</v>
      </c>
      <c r="R38" s="62">
        <f t="shared" si="14"/>
        <v>0.52759071263443558</v>
      </c>
      <c r="T38" s="224"/>
      <c r="U38" s="224"/>
      <c r="V38" s="224"/>
    </row>
    <row r="39" spans="1:28" ht="23.4" customHeight="1" x14ac:dyDescent="0.35">
      <c r="A39" s="1" t="s">
        <v>36</v>
      </c>
      <c r="B39" s="64" t="s">
        <v>91</v>
      </c>
      <c r="C39" s="18"/>
      <c r="D39" s="25" t="s">
        <v>37</v>
      </c>
      <c r="E39" s="23"/>
      <c r="F39" s="26"/>
      <c r="G39" s="23"/>
      <c r="H39" s="29"/>
      <c r="I39" s="27"/>
      <c r="J39" s="177"/>
      <c r="K39" s="178"/>
      <c r="L39" s="88" t="e">
        <f>IF(#REF!="","",I39-#REF!)</f>
        <v>#REF!</v>
      </c>
      <c r="M39" s="115"/>
      <c r="N39" s="209"/>
      <c r="O39" s="209"/>
      <c r="P39" s="210"/>
      <c r="Q39" s="202"/>
      <c r="R39" s="69"/>
      <c r="T39" s="224"/>
      <c r="U39" s="224"/>
      <c r="V39" s="224"/>
    </row>
    <row r="40" spans="1:28" ht="23.4" customHeight="1" x14ac:dyDescent="0.35">
      <c r="A40" s="4"/>
      <c r="B40" s="231" t="s">
        <v>319</v>
      </c>
      <c r="C40" s="11"/>
      <c r="D40" s="13" t="s">
        <v>38</v>
      </c>
      <c r="E40" s="8" t="s">
        <v>8</v>
      </c>
      <c r="F40" s="9">
        <v>1000</v>
      </c>
      <c r="G40" s="8">
        <v>1</v>
      </c>
      <c r="H40" s="10">
        <v>36</v>
      </c>
      <c r="I40" s="30">
        <f t="shared" ref="I40:I49" si="16">F40*G40*H40</f>
        <v>36000</v>
      </c>
      <c r="J40" s="192">
        <f t="shared" ref="J40:J49" si="17">Q40</f>
        <v>7000</v>
      </c>
      <c r="K40" s="193">
        <f t="shared" ref="K40:K50" si="18">I40-J40</f>
        <v>29000</v>
      </c>
      <c r="L40" s="87" t="e">
        <f>IF(#REF!="","",I40-#REF!)</f>
        <v>#REF!</v>
      </c>
      <c r="M40" s="220"/>
      <c r="N40" s="207">
        <f>F40</f>
        <v>1000</v>
      </c>
      <c r="O40" s="207">
        <f>F40*$O$3</f>
        <v>3000</v>
      </c>
      <c r="P40" s="208">
        <f>F40*$O$3</f>
        <v>3000</v>
      </c>
      <c r="Q40" s="199">
        <f>SUM(N40:P40)</f>
        <v>7000</v>
      </c>
      <c r="R40" s="39">
        <f t="shared" ref="R40:R50" si="19">Q40/I40</f>
        <v>0.19444444444444445</v>
      </c>
      <c r="T40" s="225"/>
      <c r="U40" s="224"/>
      <c r="V40" s="224"/>
    </row>
    <row r="41" spans="1:28" ht="23.4" customHeight="1" x14ac:dyDescent="0.35">
      <c r="A41" s="4"/>
      <c r="B41" s="231" t="s">
        <v>320</v>
      </c>
      <c r="C41" s="11"/>
      <c r="D41" s="13" t="s">
        <v>39</v>
      </c>
      <c r="E41" s="8" t="s">
        <v>8</v>
      </c>
      <c r="F41" s="9">
        <v>1000</v>
      </c>
      <c r="G41" s="8">
        <v>1</v>
      </c>
      <c r="H41" s="10">
        <v>36</v>
      </c>
      <c r="I41" s="30">
        <f t="shared" si="16"/>
        <v>36000</v>
      </c>
      <c r="J41" s="192">
        <f t="shared" si="17"/>
        <v>6000</v>
      </c>
      <c r="K41" s="193">
        <f t="shared" si="18"/>
        <v>30000</v>
      </c>
      <c r="L41" s="87" t="e">
        <f>IF(#REF!="","",I41-#REF!)</f>
        <v>#REF!</v>
      </c>
      <c r="M41" s="113"/>
      <c r="N41" s="207"/>
      <c r="O41" s="207">
        <f>F41*$O$3</f>
        <v>3000</v>
      </c>
      <c r="P41" s="208">
        <f>F41*$O$3</f>
        <v>3000</v>
      </c>
      <c r="Q41" s="199">
        <f t="shared" ref="Q41:Q49" si="20">SUM(N41:P41)</f>
        <v>6000</v>
      </c>
      <c r="R41" s="39">
        <f t="shared" si="19"/>
        <v>0.16666666666666666</v>
      </c>
      <c r="T41" s="224"/>
      <c r="U41" s="224"/>
      <c r="V41" s="224"/>
    </row>
    <row r="42" spans="1:28" ht="23.4" customHeight="1" x14ac:dyDescent="0.35">
      <c r="A42" s="4"/>
      <c r="B42" s="231" t="s">
        <v>321</v>
      </c>
      <c r="C42" s="11"/>
      <c r="D42" s="13" t="s">
        <v>277</v>
      </c>
      <c r="E42" s="8" t="s">
        <v>8</v>
      </c>
      <c r="F42" s="9">
        <v>500</v>
      </c>
      <c r="G42" s="8">
        <v>1</v>
      </c>
      <c r="H42" s="10">
        <v>36</v>
      </c>
      <c r="I42" s="30">
        <f t="shared" si="16"/>
        <v>18000</v>
      </c>
      <c r="J42" s="192">
        <f t="shared" si="17"/>
        <v>3000</v>
      </c>
      <c r="K42" s="193">
        <f t="shared" si="18"/>
        <v>15000</v>
      </c>
      <c r="L42" s="87" t="e">
        <f>IF(#REF!="","",I42-#REF!)</f>
        <v>#REF!</v>
      </c>
      <c r="M42" s="113"/>
      <c r="N42" s="207"/>
      <c r="O42" s="207">
        <f>F42*$O$3</f>
        <v>1500</v>
      </c>
      <c r="P42" s="208">
        <f>F42*$O$3</f>
        <v>1500</v>
      </c>
      <c r="Q42" s="199">
        <f t="shared" si="20"/>
        <v>3000</v>
      </c>
      <c r="R42" s="39">
        <f t="shared" si="19"/>
        <v>0.16666666666666666</v>
      </c>
      <c r="T42" s="224"/>
      <c r="U42" s="224"/>
      <c r="V42" s="224"/>
    </row>
    <row r="43" spans="1:28" ht="23.4" customHeight="1" x14ac:dyDescent="0.35">
      <c r="A43" s="4"/>
      <c r="B43" s="231" t="s">
        <v>322</v>
      </c>
      <c r="C43" s="11"/>
      <c r="D43" s="13" t="s">
        <v>40</v>
      </c>
      <c r="E43" s="8" t="s">
        <v>8</v>
      </c>
      <c r="F43" s="9">
        <v>1200</v>
      </c>
      <c r="G43" s="8">
        <v>2</v>
      </c>
      <c r="H43" s="10">
        <v>36</v>
      </c>
      <c r="I43" s="30">
        <f t="shared" si="16"/>
        <v>86400</v>
      </c>
      <c r="J43" s="192">
        <f t="shared" si="17"/>
        <v>16800</v>
      </c>
      <c r="K43" s="193">
        <f t="shared" si="18"/>
        <v>69600</v>
      </c>
      <c r="L43" s="87" t="e">
        <f>IF(#REF!="","",I43-#REF!)</f>
        <v>#REF!</v>
      </c>
      <c r="M43" s="144"/>
      <c r="N43" s="207">
        <f>F43*G43</f>
        <v>2400</v>
      </c>
      <c r="O43" s="207">
        <f>F43*G43*$O$3</f>
        <v>7200</v>
      </c>
      <c r="P43" s="208">
        <f>F43*G43*$P$3</f>
        <v>7200</v>
      </c>
      <c r="Q43" s="199">
        <f t="shared" si="20"/>
        <v>16800</v>
      </c>
      <c r="R43" s="39">
        <f t="shared" si="19"/>
        <v>0.19444444444444445</v>
      </c>
      <c r="T43" s="224"/>
      <c r="U43" s="224"/>
      <c r="V43" s="224"/>
    </row>
    <row r="44" spans="1:28" ht="23.4" customHeight="1" x14ac:dyDescent="0.35">
      <c r="A44" s="4"/>
      <c r="B44" s="231" t="s">
        <v>323</v>
      </c>
      <c r="C44" s="11"/>
      <c r="D44" s="13" t="s">
        <v>41</v>
      </c>
      <c r="E44" s="8" t="s">
        <v>42</v>
      </c>
      <c r="F44" s="9">
        <v>1500</v>
      </c>
      <c r="G44" s="8">
        <v>4</v>
      </c>
      <c r="H44" s="10">
        <v>26</v>
      </c>
      <c r="I44" s="30">
        <f t="shared" si="16"/>
        <v>156000</v>
      </c>
      <c r="J44" s="192">
        <f t="shared" si="17"/>
        <v>0</v>
      </c>
      <c r="K44" s="193">
        <f t="shared" si="18"/>
        <v>156000</v>
      </c>
      <c r="L44" s="87" t="e">
        <f>IF(#REF!="","",I44-#REF!)</f>
        <v>#REF!</v>
      </c>
      <c r="M44" s="144"/>
      <c r="N44" s="207">
        <v>0</v>
      </c>
      <c r="O44" s="207">
        <v>0</v>
      </c>
      <c r="P44" s="208">
        <f t="shared" ref="P44" si="21">O44</f>
        <v>0</v>
      </c>
      <c r="Q44" s="199">
        <f t="shared" si="20"/>
        <v>0</v>
      </c>
      <c r="R44" s="39">
        <f t="shared" si="19"/>
        <v>0</v>
      </c>
      <c r="T44" s="224"/>
      <c r="U44" s="224"/>
      <c r="V44" s="224"/>
    </row>
    <row r="45" spans="1:28" s="43" customFormat="1" ht="23.4" customHeight="1" x14ac:dyDescent="0.35">
      <c r="A45" s="4"/>
      <c r="B45" s="231" t="s">
        <v>324</v>
      </c>
      <c r="C45" s="11"/>
      <c r="D45" s="13" t="s">
        <v>43</v>
      </c>
      <c r="E45" s="8" t="s">
        <v>42</v>
      </c>
      <c r="F45" s="9">
        <v>120</v>
      </c>
      <c r="G45" s="8">
        <v>50</v>
      </c>
      <c r="H45" s="10">
        <v>31</v>
      </c>
      <c r="I45" s="30">
        <f t="shared" si="16"/>
        <v>186000</v>
      </c>
      <c r="J45" s="192">
        <f t="shared" si="17"/>
        <v>21600</v>
      </c>
      <c r="K45" s="193">
        <f t="shared" si="18"/>
        <v>164400</v>
      </c>
      <c r="L45" s="90" t="e">
        <f>IF(#REF!="","",I45-#REF!)</f>
        <v>#REF!</v>
      </c>
      <c r="M45" s="222" t="s">
        <v>276</v>
      </c>
      <c r="N45" s="215">
        <v>0</v>
      </c>
      <c r="O45" s="207">
        <f>F45*20*O3</f>
        <v>7200</v>
      </c>
      <c r="P45" s="208">
        <f>F45*20*O3+F45*30*2</f>
        <v>14400</v>
      </c>
      <c r="Q45" s="199">
        <f t="shared" si="20"/>
        <v>21600</v>
      </c>
      <c r="R45" s="45">
        <f t="shared" si="19"/>
        <v>0.11612903225806452</v>
      </c>
      <c r="T45" s="225"/>
      <c r="U45" s="224"/>
      <c r="V45" s="224"/>
      <c r="W45" s="42"/>
      <c r="X45" s="42"/>
      <c r="Y45" s="42"/>
      <c r="Z45" s="42"/>
      <c r="AA45" s="42"/>
      <c r="AB45" s="42"/>
    </row>
    <row r="46" spans="1:28" ht="23.4" customHeight="1" x14ac:dyDescent="0.35">
      <c r="A46" s="4"/>
      <c r="B46" s="231" t="s">
        <v>325</v>
      </c>
      <c r="C46" s="11"/>
      <c r="D46" s="13" t="s">
        <v>44</v>
      </c>
      <c r="E46" s="8" t="s">
        <v>42</v>
      </c>
      <c r="F46" s="9">
        <v>800</v>
      </c>
      <c r="G46" s="8">
        <v>2</v>
      </c>
      <c r="H46" s="10">
        <v>31</v>
      </c>
      <c r="I46" s="30">
        <f t="shared" si="16"/>
        <v>49600</v>
      </c>
      <c r="J46" s="192">
        <f t="shared" si="17"/>
        <v>16000</v>
      </c>
      <c r="K46" s="193">
        <f t="shared" si="18"/>
        <v>33600</v>
      </c>
      <c r="L46" s="87" t="e">
        <f>IF(#REF!="","",I46-#REF!)</f>
        <v>#REF!</v>
      </c>
      <c r="M46" s="222" t="s">
        <v>276</v>
      </c>
      <c r="N46" s="207">
        <v>0</v>
      </c>
      <c r="O46" s="215">
        <f>F46*G46</f>
        <v>1600</v>
      </c>
      <c r="P46" s="208">
        <f>G46*F46*$P$3*3</f>
        <v>14400</v>
      </c>
      <c r="Q46" s="199">
        <f t="shared" si="20"/>
        <v>16000</v>
      </c>
      <c r="R46" s="39">
        <f t="shared" si="19"/>
        <v>0.32258064516129031</v>
      </c>
      <c r="T46" s="224"/>
      <c r="U46" s="224"/>
      <c r="V46" s="224"/>
    </row>
    <row r="47" spans="1:28" ht="23.25" customHeight="1" x14ac:dyDescent="0.35">
      <c r="A47" s="4"/>
      <c r="B47" s="231" t="s">
        <v>326</v>
      </c>
      <c r="C47" s="11"/>
      <c r="D47" s="13" t="s">
        <v>45</v>
      </c>
      <c r="E47" s="8" t="s">
        <v>42</v>
      </c>
      <c r="F47" s="9">
        <v>2000</v>
      </c>
      <c r="G47" s="8">
        <v>1</v>
      </c>
      <c r="H47" s="10">
        <v>36</v>
      </c>
      <c r="I47" s="30">
        <f t="shared" si="16"/>
        <v>72000</v>
      </c>
      <c r="J47" s="192">
        <f t="shared" si="17"/>
        <v>14000</v>
      </c>
      <c r="K47" s="193">
        <f t="shared" si="18"/>
        <v>58000</v>
      </c>
      <c r="L47" s="87" t="e">
        <f>IF(#REF!="","",I47-#REF!)</f>
        <v>#REF!</v>
      </c>
      <c r="M47" s="113"/>
      <c r="N47" s="207">
        <f>F47</f>
        <v>2000</v>
      </c>
      <c r="O47" s="207">
        <f>F47*O3</f>
        <v>6000</v>
      </c>
      <c r="P47" s="208">
        <f>F47*P3</f>
        <v>6000</v>
      </c>
      <c r="Q47" s="199">
        <f t="shared" si="20"/>
        <v>14000</v>
      </c>
      <c r="R47" s="39">
        <f t="shared" si="19"/>
        <v>0.19444444444444445</v>
      </c>
      <c r="T47" s="224"/>
      <c r="U47" s="224"/>
      <c r="V47" s="224"/>
    </row>
    <row r="48" spans="1:28" ht="23.4" customHeight="1" x14ac:dyDescent="0.35">
      <c r="A48" s="4"/>
      <c r="B48" s="231" t="s">
        <v>327</v>
      </c>
      <c r="C48" s="11"/>
      <c r="D48" s="13" t="s">
        <v>274</v>
      </c>
      <c r="E48" s="8" t="s">
        <v>42</v>
      </c>
      <c r="F48" s="9">
        <v>1200</v>
      </c>
      <c r="G48" s="8">
        <v>1</v>
      </c>
      <c r="H48" s="10">
        <v>36</v>
      </c>
      <c r="I48" s="30">
        <f t="shared" si="16"/>
        <v>43200</v>
      </c>
      <c r="J48" s="192">
        <f t="shared" si="17"/>
        <v>8400</v>
      </c>
      <c r="K48" s="193">
        <f t="shared" si="18"/>
        <v>34800</v>
      </c>
      <c r="L48" s="87" t="e">
        <f>IF(#REF!="","",I48-#REF!)</f>
        <v>#REF!</v>
      </c>
      <c r="M48" s="113"/>
      <c r="N48" s="207">
        <f>F48</f>
        <v>1200</v>
      </c>
      <c r="O48" s="207">
        <f>F48*O3</f>
        <v>3600</v>
      </c>
      <c r="P48" s="208">
        <f>F48*P3</f>
        <v>3600</v>
      </c>
      <c r="Q48" s="199">
        <f t="shared" si="20"/>
        <v>8400</v>
      </c>
      <c r="R48" s="39">
        <f t="shared" si="19"/>
        <v>0.19444444444444445</v>
      </c>
      <c r="T48" s="224"/>
      <c r="U48" s="224"/>
      <c r="V48" s="224"/>
    </row>
    <row r="49" spans="1:28" s="43" customFormat="1" ht="23.4" customHeight="1" x14ac:dyDescent="0.35">
      <c r="A49" s="4"/>
      <c r="B49" s="231" t="s">
        <v>328</v>
      </c>
      <c r="C49" s="11"/>
      <c r="D49" s="13" t="s">
        <v>46</v>
      </c>
      <c r="E49" s="8" t="s">
        <v>42</v>
      </c>
      <c r="F49" s="9">
        <v>1200</v>
      </c>
      <c r="G49" s="8">
        <v>1</v>
      </c>
      <c r="H49" s="10">
        <v>36</v>
      </c>
      <c r="I49" s="30">
        <f t="shared" si="16"/>
        <v>43200</v>
      </c>
      <c r="J49" s="192">
        <f t="shared" si="17"/>
        <v>8400</v>
      </c>
      <c r="K49" s="193">
        <f t="shared" si="18"/>
        <v>34800</v>
      </c>
      <c r="L49" s="90" t="e">
        <f>IF(#REF!="","",I49-#REF!)</f>
        <v>#REF!</v>
      </c>
      <c r="M49" s="119"/>
      <c r="N49" s="215">
        <f>F49</f>
        <v>1200</v>
      </c>
      <c r="O49" s="207">
        <f>F49*O3</f>
        <v>3600</v>
      </c>
      <c r="P49" s="208">
        <f>F49*O3</f>
        <v>3600</v>
      </c>
      <c r="Q49" s="199">
        <f t="shared" si="20"/>
        <v>8400</v>
      </c>
      <c r="R49" s="45">
        <f t="shared" si="19"/>
        <v>0.19444444444444445</v>
      </c>
      <c r="T49" s="225"/>
      <c r="U49" s="224"/>
      <c r="V49" s="224"/>
      <c r="W49" s="42"/>
      <c r="X49" s="42"/>
      <c r="Y49" s="42"/>
      <c r="Z49" s="42"/>
      <c r="AA49" s="42"/>
      <c r="AB49" s="42"/>
    </row>
    <row r="50" spans="1:28" ht="23.4" customHeight="1" x14ac:dyDescent="0.35">
      <c r="A50" s="15"/>
      <c r="B50" s="64"/>
      <c r="C50" s="16"/>
      <c r="D50" s="57" t="s">
        <v>47</v>
      </c>
      <c r="E50" s="58"/>
      <c r="F50" s="59"/>
      <c r="G50" s="58"/>
      <c r="H50" s="60"/>
      <c r="I50" s="61">
        <f>SUM(I40:I49)</f>
        <v>726400</v>
      </c>
      <c r="J50" s="184">
        <f>Q50</f>
        <v>101200</v>
      </c>
      <c r="K50" s="185">
        <f t="shared" si="18"/>
        <v>625200</v>
      </c>
      <c r="L50" s="89" t="e">
        <f>IF(#REF!="","",I50-#REF!)</f>
        <v>#REF!</v>
      </c>
      <c r="M50" s="118"/>
      <c r="N50" s="213"/>
      <c r="O50" s="213"/>
      <c r="P50" s="214"/>
      <c r="Q50" s="204">
        <f>Q40+Q41+Q42+Q43+Q44+Q45+Q46+Q47+Q48+Q49</f>
        <v>101200</v>
      </c>
      <c r="R50" s="62">
        <f t="shared" si="19"/>
        <v>0.13931718061674009</v>
      </c>
      <c r="T50" s="224"/>
      <c r="U50" s="224"/>
      <c r="V50" s="224"/>
    </row>
    <row r="51" spans="1:28" ht="23.4" customHeight="1" x14ac:dyDescent="0.35">
      <c r="A51" s="1" t="s">
        <v>134</v>
      </c>
      <c r="B51" s="64" t="s">
        <v>102</v>
      </c>
      <c r="C51" s="18"/>
      <c r="D51" s="25" t="s">
        <v>135</v>
      </c>
      <c r="E51" s="23"/>
      <c r="F51" s="26"/>
      <c r="G51" s="23"/>
      <c r="H51" s="29"/>
      <c r="I51" s="27"/>
      <c r="J51" s="177"/>
      <c r="K51" s="178"/>
      <c r="L51" s="88"/>
      <c r="M51" s="115"/>
      <c r="N51" s="209"/>
      <c r="O51" s="209"/>
      <c r="P51" s="210"/>
      <c r="Q51" s="200"/>
      <c r="R51" s="56"/>
      <c r="T51" s="224"/>
      <c r="U51" s="224"/>
      <c r="V51" s="224"/>
    </row>
    <row r="52" spans="1:28" ht="23.4" customHeight="1" x14ac:dyDescent="0.35">
      <c r="A52" s="19"/>
      <c r="B52" s="64" t="s">
        <v>5</v>
      </c>
      <c r="C52" s="6"/>
      <c r="D52" s="7" t="s">
        <v>294</v>
      </c>
      <c r="E52" s="8"/>
      <c r="F52" s="9"/>
      <c r="G52" s="8"/>
      <c r="H52" s="10"/>
      <c r="I52" s="30"/>
      <c r="J52" s="192"/>
      <c r="K52" s="193"/>
      <c r="L52" s="87" t="e">
        <f>IF(#REF!="","",I52-#REF!)</f>
        <v>#REF!</v>
      </c>
      <c r="M52" s="113"/>
      <c r="N52" s="207"/>
      <c r="O52" s="207"/>
      <c r="P52" s="208"/>
      <c r="Q52" s="199"/>
      <c r="R52" s="39"/>
      <c r="T52" s="224"/>
      <c r="U52" s="224"/>
      <c r="V52" s="224"/>
    </row>
    <row r="53" spans="1:28" ht="23.4" customHeight="1" x14ac:dyDescent="0.35">
      <c r="A53" s="4"/>
      <c r="B53" s="231" t="s">
        <v>329</v>
      </c>
      <c r="C53" s="11"/>
      <c r="D53" s="13" t="s">
        <v>48</v>
      </c>
      <c r="E53" s="8" t="s">
        <v>49</v>
      </c>
      <c r="F53" s="9">
        <v>2000</v>
      </c>
      <c r="G53" s="8">
        <v>20</v>
      </c>
      <c r="H53" s="10">
        <v>1</v>
      </c>
      <c r="I53" s="30">
        <f t="shared" ref="I53:I60" si="22">F53*G53*H53</f>
        <v>40000</v>
      </c>
      <c r="J53" s="192">
        <f t="shared" ref="J53:J61" si="23">Q53</f>
        <v>0</v>
      </c>
      <c r="K53" s="193">
        <f t="shared" ref="K53:K61" si="24">I53-J53</f>
        <v>40000</v>
      </c>
      <c r="L53" s="87" t="e">
        <f>IF(#REF!="","",I53-#REF!)</f>
        <v>#REF!</v>
      </c>
      <c r="N53" s="207">
        <v>0</v>
      </c>
      <c r="O53" s="207">
        <v>0</v>
      </c>
      <c r="P53" s="208">
        <v>0</v>
      </c>
      <c r="Q53" s="199">
        <f>SUM(N53:P53)</f>
        <v>0</v>
      </c>
      <c r="R53" s="39">
        <f t="shared" ref="R53:R60" si="25">Q53/I53</f>
        <v>0</v>
      </c>
      <c r="T53" s="224"/>
      <c r="U53" s="224"/>
      <c r="V53" s="224"/>
    </row>
    <row r="54" spans="1:28" ht="23.4" customHeight="1" x14ac:dyDescent="0.35">
      <c r="A54" s="4"/>
      <c r="B54" s="231" t="s">
        <v>330</v>
      </c>
      <c r="C54" s="11"/>
      <c r="D54" s="13" t="s">
        <v>50</v>
      </c>
      <c r="E54" s="8" t="s">
        <v>51</v>
      </c>
      <c r="F54" s="9">
        <v>5000</v>
      </c>
      <c r="G54" s="8">
        <v>4</v>
      </c>
      <c r="H54" s="10">
        <v>1</v>
      </c>
      <c r="I54" s="30">
        <f t="shared" si="22"/>
        <v>20000</v>
      </c>
      <c r="J54" s="192">
        <f t="shared" si="23"/>
        <v>15000</v>
      </c>
      <c r="K54" s="193">
        <f t="shared" si="24"/>
        <v>5000</v>
      </c>
      <c r="L54" s="87" t="e">
        <f>IF(#REF!="","",I54-#REF!)</f>
        <v>#REF!</v>
      </c>
      <c r="M54" s="113" t="s">
        <v>295</v>
      </c>
      <c r="N54" s="207">
        <v>0</v>
      </c>
      <c r="O54" s="207">
        <v>0</v>
      </c>
      <c r="P54" s="208">
        <v>15000</v>
      </c>
      <c r="Q54" s="199">
        <f t="shared" ref="Q54:Q60" si="26">SUM(N54:P54)</f>
        <v>15000</v>
      </c>
      <c r="R54" s="39">
        <f t="shared" si="25"/>
        <v>0.75</v>
      </c>
      <c r="T54" s="224"/>
      <c r="U54" s="224"/>
      <c r="V54" s="224"/>
    </row>
    <row r="55" spans="1:28" ht="23.4" customHeight="1" x14ac:dyDescent="0.35">
      <c r="A55" s="4"/>
      <c r="B55" s="231" t="s">
        <v>331</v>
      </c>
      <c r="C55" s="11"/>
      <c r="D55" s="13" t="s">
        <v>296</v>
      </c>
      <c r="E55" s="8" t="s">
        <v>52</v>
      </c>
      <c r="F55" s="9">
        <v>10000</v>
      </c>
      <c r="G55" s="8">
        <v>1</v>
      </c>
      <c r="H55" s="10">
        <v>1</v>
      </c>
      <c r="I55" s="30">
        <f t="shared" si="22"/>
        <v>10000</v>
      </c>
      <c r="J55" s="192">
        <f t="shared" si="23"/>
        <v>5000</v>
      </c>
      <c r="K55" s="193">
        <f t="shared" si="24"/>
        <v>5000</v>
      </c>
      <c r="L55" s="87" t="e">
        <f>IF(#REF!="","",I55-#REF!)</f>
        <v>#REF!</v>
      </c>
      <c r="M55" s="226" t="s">
        <v>297</v>
      </c>
      <c r="N55" s="207">
        <v>0</v>
      </c>
      <c r="O55" s="207">
        <v>0</v>
      </c>
      <c r="P55" s="208">
        <v>5000</v>
      </c>
      <c r="Q55" s="199">
        <f t="shared" si="26"/>
        <v>5000</v>
      </c>
      <c r="R55" s="39">
        <f t="shared" si="25"/>
        <v>0.5</v>
      </c>
      <c r="T55" s="224"/>
      <c r="U55" s="224"/>
      <c r="V55" s="224"/>
    </row>
    <row r="56" spans="1:28" ht="23.4" customHeight="1" x14ac:dyDescent="0.35">
      <c r="A56" s="4"/>
      <c r="B56" s="231" t="s">
        <v>332</v>
      </c>
      <c r="C56" s="11"/>
      <c r="D56" s="13" t="s">
        <v>54</v>
      </c>
      <c r="E56" s="8" t="s">
        <v>53</v>
      </c>
      <c r="F56" s="9">
        <v>1000</v>
      </c>
      <c r="G56" s="8">
        <v>4</v>
      </c>
      <c r="H56" s="10">
        <v>9</v>
      </c>
      <c r="I56" s="30">
        <f t="shared" ref="I56" si="27">F56*G56*H56</f>
        <v>36000</v>
      </c>
      <c r="J56" s="194">
        <f t="shared" ref="J56" si="28">Q56</f>
        <v>4000</v>
      </c>
      <c r="K56" s="195">
        <f t="shared" ref="K56" si="29">I56-J56</f>
        <v>32000</v>
      </c>
      <c r="L56" s="90" t="e">
        <f>IF(#REF!="","",I56-#REF!)</f>
        <v>#REF!</v>
      </c>
      <c r="M56" s="119" t="s">
        <v>298</v>
      </c>
      <c r="N56" s="215">
        <v>0</v>
      </c>
      <c r="O56" s="253"/>
      <c r="P56" s="251">
        <f>F56*G56</f>
        <v>4000</v>
      </c>
      <c r="Q56" s="252">
        <f>SUM(N56:P56)</f>
        <v>4000</v>
      </c>
      <c r="R56" s="45">
        <f t="shared" ref="R56" si="30">Q56/I56</f>
        <v>0.1111111111111111</v>
      </c>
      <c r="T56" s="224"/>
      <c r="U56" s="224"/>
      <c r="V56" s="224"/>
    </row>
    <row r="57" spans="1:28" ht="22.25" customHeight="1" x14ac:dyDescent="0.35">
      <c r="A57" s="4"/>
      <c r="B57" s="231" t="s">
        <v>333</v>
      </c>
      <c r="C57" s="11"/>
      <c r="D57" s="13" t="s">
        <v>132</v>
      </c>
      <c r="E57" s="8" t="s">
        <v>53</v>
      </c>
      <c r="F57" s="9">
        <v>200</v>
      </c>
      <c r="G57" s="8">
        <v>10</v>
      </c>
      <c r="H57" s="10">
        <v>9</v>
      </c>
      <c r="I57" s="30">
        <f t="shared" si="22"/>
        <v>18000</v>
      </c>
      <c r="J57" s="192">
        <f t="shared" si="23"/>
        <v>2000</v>
      </c>
      <c r="K57" s="193">
        <f t="shared" si="24"/>
        <v>16000</v>
      </c>
      <c r="L57" s="87" t="e">
        <f>IF(#REF!="","",I57-#REF!)</f>
        <v>#REF!</v>
      </c>
      <c r="M57" s="226" t="s">
        <v>298</v>
      </c>
      <c r="N57" s="207">
        <v>0</v>
      </c>
      <c r="O57" s="227"/>
      <c r="P57" s="208">
        <f>F57*G57</f>
        <v>2000</v>
      </c>
      <c r="Q57" s="199">
        <f>SUM(N57:P57)</f>
        <v>2000</v>
      </c>
      <c r="R57" s="39">
        <f t="shared" si="25"/>
        <v>0.1111111111111111</v>
      </c>
      <c r="T57" s="224"/>
      <c r="U57" s="224"/>
      <c r="V57" s="224"/>
    </row>
    <row r="58" spans="1:28" ht="23.4" customHeight="1" x14ac:dyDescent="0.35">
      <c r="A58" s="4"/>
      <c r="B58" s="231" t="s">
        <v>334</v>
      </c>
      <c r="C58" s="11"/>
      <c r="D58" s="13" t="s">
        <v>55</v>
      </c>
      <c r="E58" s="8" t="s">
        <v>56</v>
      </c>
      <c r="F58" s="9">
        <v>5000</v>
      </c>
      <c r="G58" s="8">
        <v>2</v>
      </c>
      <c r="H58" s="10">
        <v>1</v>
      </c>
      <c r="I58" s="30">
        <f t="shared" si="22"/>
        <v>10000</v>
      </c>
      <c r="J58" s="192">
        <f t="shared" si="23"/>
        <v>10000</v>
      </c>
      <c r="K58" s="193">
        <f t="shared" si="24"/>
        <v>0</v>
      </c>
      <c r="L58" s="87" t="e">
        <f>IF(#REF!="","",I58-#REF!)</f>
        <v>#REF!</v>
      </c>
      <c r="M58" s="113"/>
      <c r="N58" s="207">
        <v>0</v>
      </c>
      <c r="O58" s="207">
        <v>0</v>
      </c>
      <c r="P58" s="208">
        <f>F58*G58</f>
        <v>10000</v>
      </c>
      <c r="Q58" s="199">
        <f t="shared" si="26"/>
        <v>10000</v>
      </c>
      <c r="R58" s="39">
        <f t="shared" si="25"/>
        <v>1</v>
      </c>
      <c r="T58" s="224"/>
      <c r="U58" s="224"/>
      <c r="V58" s="224"/>
    </row>
    <row r="59" spans="1:28" ht="23.4" customHeight="1" x14ac:dyDescent="0.35">
      <c r="A59" s="4"/>
      <c r="B59" s="231" t="s">
        <v>335</v>
      </c>
      <c r="C59" s="11"/>
      <c r="D59" s="13" t="s">
        <v>57</v>
      </c>
      <c r="E59" s="8" t="s">
        <v>58</v>
      </c>
      <c r="F59" s="9">
        <v>5000</v>
      </c>
      <c r="G59" s="8">
        <v>1</v>
      </c>
      <c r="H59" s="10">
        <v>3</v>
      </c>
      <c r="I59" s="30">
        <f t="shared" si="22"/>
        <v>15000</v>
      </c>
      <c r="J59" s="192">
        <f t="shared" si="23"/>
        <v>5000</v>
      </c>
      <c r="K59" s="193">
        <f t="shared" si="24"/>
        <v>10000</v>
      </c>
      <c r="L59" s="87" t="e">
        <f>IF(#REF!="","",I59-#REF!)</f>
        <v>#REF!</v>
      </c>
      <c r="M59" s="113" t="s">
        <v>299</v>
      </c>
      <c r="N59" s="207">
        <v>0</v>
      </c>
      <c r="O59" s="207">
        <f>F59</f>
        <v>5000</v>
      </c>
      <c r="P59" s="208">
        <v>0</v>
      </c>
      <c r="Q59" s="199">
        <f t="shared" si="26"/>
        <v>5000</v>
      </c>
      <c r="R59" s="39">
        <f t="shared" si="25"/>
        <v>0.33333333333333331</v>
      </c>
      <c r="T59" s="224"/>
      <c r="U59" s="224"/>
      <c r="V59" s="224"/>
    </row>
    <row r="60" spans="1:28" s="43" customFormat="1" ht="34.5" x14ac:dyDescent="0.35">
      <c r="A60" s="4"/>
      <c r="B60" s="231" t="s">
        <v>336</v>
      </c>
      <c r="C60" s="11"/>
      <c r="D60" s="13" t="s">
        <v>59</v>
      </c>
      <c r="E60" s="8" t="s">
        <v>60</v>
      </c>
      <c r="F60" s="9">
        <v>5000</v>
      </c>
      <c r="G60" s="8">
        <v>4</v>
      </c>
      <c r="H60" s="10">
        <v>3</v>
      </c>
      <c r="I60" s="30">
        <f t="shared" si="22"/>
        <v>60000</v>
      </c>
      <c r="J60" s="194">
        <f t="shared" si="23"/>
        <v>32000</v>
      </c>
      <c r="K60" s="195">
        <f t="shared" si="24"/>
        <v>28000</v>
      </c>
      <c r="L60" s="90" t="e">
        <f>IF(#REF!="","",I60-#REF!)</f>
        <v>#REF!</v>
      </c>
      <c r="M60" s="250" t="s">
        <v>305</v>
      </c>
      <c r="N60" s="215">
        <v>0</v>
      </c>
      <c r="O60" s="215">
        <v>20000</v>
      </c>
      <c r="P60" s="251">
        <v>12000</v>
      </c>
      <c r="Q60" s="252">
        <f t="shared" si="26"/>
        <v>32000</v>
      </c>
      <c r="R60" s="45">
        <f t="shared" si="25"/>
        <v>0.53333333333333333</v>
      </c>
      <c r="T60" s="225"/>
      <c r="U60" s="225"/>
      <c r="V60" s="225"/>
    </row>
    <row r="61" spans="1:28" ht="23.4" customHeight="1" x14ac:dyDescent="0.35">
      <c r="A61" s="1"/>
      <c r="B61" s="64"/>
      <c r="C61" s="18"/>
      <c r="D61" s="25" t="s">
        <v>389</v>
      </c>
      <c r="E61" s="23"/>
      <c r="F61" s="26"/>
      <c r="G61" s="23"/>
      <c r="H61" s="29"/>
      <c r="I61" s="27">
        <f>SUM(I53:I60)</f>
        <v>209000</v>
      </c>
      <c r="J61" s="177">
        <f t="shared" si="23"/>
        <v>73000</v>
      </c>
      <c r="K61" s="178">
        <f t="shared" si="24"/>
        <v>136000</v>
      </c>
      <c r="L61" s="88" t="e">
        <f>IF(#REF!="","",I61-#REF!)</f>
        <v>#REF!</v>
      </c>
      <c r="M61" s="115"/>
      <c r="N61" s="209"/>
      <c r="O61" s="209"/>
      <c r="P61" s="210"/>
      <c r="Q61" s="200">
        <f>Q53+Q54+Q55+Q57+Q56+Q58+Q59+Q60</f>
        <v>73000</v>
      </c>
      <c r="R61" s="71">
        <f>Q61/I61</f>
        <v>0.34928229665071769</v>
      </c>
      <c r="T61" s="224"/>
      <c r="U61" s="224"/>
      <c r="V61" s="224"/>
    </row>
    <row r="62" spans="1:28" ht="23.4" customHeight="1" x14ac:dyDescent="0.35">
      <c r="A62" s="19"/>
      <c r="B62" s="64" t="s">
        <v>337</v>
      </c>
      <c r="C62" s="6"/>
      <c r="D62" s="7" t="s">
        <v>300</v>
      </c>
      <c r="E62" s="5"/>
      <c r="F62" s="20"/>
      <c r="G62" s="5"/>
      <c r="H62" s="21"/>
      <c r="I62" s="31"/>
      <c r="J62" s="192"/>
      <c r="K62" s="193"/>
      <c r="L62" s="87" t="e">
        <f>IF(#REF!="","",I62-#REF!)</f>
        <v>#REF!</v>
      </c>
      <c r="M62" s="113"/>
      <c r="N62" s="207"/>
      <c r="O62" s="207"/>
      <c r="P62" s="208"/>
      <c r="Q62" s="199"/>
      <c r="R62" s="39"/>
      <c r="T62" s="224"/>
      <c r="U62" s="224"/>
      <c r="V62" s="224"/>
    </row>
    <row r="63" spans="1:28" ht="23.4" customHeight="1" x14ac:dyDescent="0.35">
      <c r="A63" s="4"/>
      <c r="B63" s="231" t="s">
        <v>338</v>
      </c>
      <c r="C63" s="11"/>
      <c r="D63" s="13" t="s">
        <v>61</v>
      </c>
      <c r="E63" s="8" t="s">
        <v>62</v>
      </c>
      <c r="F63" s="9">
        <v>80</v>
      </c>
      <c r="G63" s="8">
        <v>20</v>
      </c>
      <c r="H63" s="10">
        <v>31</v>
      </c>
      <c r="I63" s="30">
        <f t="shared" ref="I63:I72" si="31">F63*G63*H63</f>
        <v>49600</v>
      </c>
      <c r="J63" s="192">
        <f t="shared" ref="J63:J73" si="32">Q63</f>
        <v>3200</v>
      </c>
      <c r="K63" s="193">
        <f t="shared" ref="K63:K73" si="33">I63-J63</f>
        <v>46400</v>
      </c>
      <c r="L63" s="87" t="e">
        <f>IF(#REF!="","",I63-#REF!)</f>
        <v>#REF!</v>
      </c>
      <c r="M63" s="144"/>
      <c r="N63" s="207">
        <v>0</v>
      </c>
      <c r="O63" s="207">
        <v>0</v>
      </c>
      <c r="P63" s="208">
        <f>F63*G63*2</f>
        <v>3200</v>
      </c>
      <c r="Q63" s="199">
        <f>SUM(N63:P63)</f>
        <v>3200</v>
      </c>
      <c r="R63" s="39">
        <f t="shared" ref="R63:R73" si="34">Q63/I63</f>
        <v>6.4516129032258063E-2</v>
      </c>
      <c r="T63" s="224"/>
      <c r="U63" s="224"/>
      <c r="V63" s="224"/>
    </row>
    <row r="64" spans="1:28" ht="23.4" customHeight="1" x14ac:dyDescent="0.35">
      <c r="A64" s="4"/>
      <c r="B64" s="231" t="s">
        <v>339</v>
      </c>
      <c r="C64" s="11"/>
      <c r="D64" s="13" t="s">
        <v>63</v>
      </c>
      <c r="E64" s="8" t="s">
        <v>64</v>
      </c>
      <c r="F64" s="9">
        <v>2500</v>
      </c>
      <c r="G64" s="8">
        <v>1</v>
      </c>
      <c r="H64" s="10">
        <v>3</v>
      </c>
      <c r="I64" s="30">
        <f t="shared" si="31"/>
        <v>7500</v>
      </c>
      <c r="J64" s="192">
        <f t="shared" si="32"/>
        <v>7500</v>
      </c>
      <c r="K64" s="193">
        <f t="shared" si="33"/>
        <v>0</v>
      </c>
      <c r="L64" s="87" t="e">
        <f>IF(#REF!="","",I64-#REF!)</f>
        <v>#REF!</v>
      </c>
      <c r="M64" s="113"/>
      <c r="N64" s="207">
        <v>0</v>
      </c>
      <c r="O64" s="207">
        <v>0</v>
      </c>
      <c r="P64" s="208">
        <f>F64*G64*H64</f>
        <v>7500</v>
      </c>
      <c r="Q64" s="199">
        <f t="shared" ref="Q64:Q72" si="35">SUM(N64:P64)</f>
        <v>7500</v>
      </c>
      <c r="R64" s="39">
        <f t="shared" si="34"/>
        <v>1</v>
      </c>
      <c r="T64" s="224"/>
      <c r="U64" s="224"/>
      <c r="V64" s="224"/>
    </row>
    <row r="65" spans="1:22" ht="23.4" customHeight="1" x14ac:dyDescent="0.35">
      <c r="A65" s="4"/>
      <c r="B65" s="231" t="s">
        <v>340</v>
      </c>
      <c r="C65" s="11"/>
      <c r="D65" s="13" t="s">
        <v>65</v>
      </c>
      <c r="E65" s="8" t="s">
        <v>53</v>
      </c>
      <c r="F65" s="9">
        <v>2000</v>
      </c>
      <c r="G65" s="8">
        <v>1</v>
      </c>
      <c r="H65" s="10">
        <v>3</v>
      </c>
      <c r="I65" s="30">
        <f t="shared" si="31"/>
        <v>6000</v>
      </c>
      <c r="J65" s="192">
        <f t="shared" si="32"/>
        <v>2000</v>
      </c>
      <c r="K65" s="193">
        <f t="shared" si="33"/>
        <v>4000</v>
      </c>
      <c r="L65" s="87" t="e">
        <f>IF(#REF!="","",I65-#REF!)</f>
        <v>#REF!</v>
      </c>
      <c r="M65" s="113"/>
      <c r="N65" s="207">
        <v>0</v>
      </c>
      <c r="O65" s="207">
        <v>0</v>
      </c>
      <c r="P65" s="208">
        <f>F65*G65</f>
        <v>2000</v>
      </c>
      <c r="Q65" s="199">
        <f t="shared" si="35"/>
        <v>2000</v>
      </c>
      <c r="R65" s="39">
        <f t="shared" si="34"/>
        <v>0.33333333333333331</v>
      </c>
      <c r="T65" s="224"/>
      <c r="U65" s="224"/>
      <c r="V65" s="224"/>
    </row>
    <row r="66" spans="1:22" ht="23.4" customHeight="1" x14ac:dyDescent="0.35">
      <c r="A66" s="4"/>
      <c r="B66" s="231" t="s">
        <v>341</v>
      </c>
      <c r="C66" s="11"/>
      <c r="D66" s="13" t="s">
        <v>66</v>
      </c>
      <c r="E66" s="8" t="s">
        <v>62</v>
      </c>
      <c r="F66" s="9">
        <v>80</v>
      </c>
      <c r="G66" s="8">
        <v>20</v>
      </c>
      <c r="H66" s="10">
        <v>31</v>
      </c>
      <c r="I66" s="30">
        <f t="shared" si="31"/>
        <v>49600</v>
      </c>
      <c r="J66" s="192">
        <f t="shared" si="32"/>
        <v>3200</v>
      </c>
      <c r="K66" s="193">
        <f t="shared" si="33"/>
        <v>46400</v>
      </c>
      <c r="L66" s="87" t="e">
        <f>IF(#REF!="","",I66-#REF!)</f>
        <v>#REF!</v>
      </c>
      <c r="M66" s="144"/>
      <c r="N66" s="207">
        <v>0</v>
      </c>
      <c r="O66" s="207">
        <v>0</v>
      </c>
      <c r="P66" s="208">
        <f>F66*G66*2</f>
        <v>3200</v>
      </c>
      <c r="Q66" s="199">
        <f t="shared" si="35"/>
        <v>3200</v>
      </c>
      <c r="R66" s="39">
        <f t="shared" si="34"/>
        <v>6.4516129032258063E-2</v>
      </c>
      <c r="T66" s="224"/>
      <c r="U66" s="224"/>
      <c r="V66" s="224"/>
    </row>
    <row r="67" spans="1:22" ht="23.4" customHeight="1" x14ac:dyDescent="0.35">
      <c r="A67" s="4"/>
      <c r="B67" s="231" t="s">
        <v>342</v>
      </c>
      <c r="C67" s="11"/>
      <c r="D67" s="13" t="s">
        <v>67</v>
      </c>
      <c r="E67" s="8" t="s">
        <v>68</v>
      </c>
      <c r="F67" s="9">
        <v>1500</v>
      </c>
      <c r="G67" s="8">
        <v>4</v>
      </c>
      <c r="H67" s="10">
        <v>3</v>
      </c>
      <c r="I67" s="30">
        <f t="shared" si="31"/>
        <v>18000</v>
      </c>
      <c r="J67" s="192">
        <f t="shared" si="32"/>
        <v>2500</v>
      </c>
      <c r="K67" s="193">
        <f t="shared" si="33"/>
        <v>15500</v>
      </c>
      <c r="L67" s="87" t="e">
        <f>IF(#REF!="","",I67-#REF!)</f>
        <v>#REF!</v>
      </c>
      <c r="M67" s="113"/>
      <c r="N67" s="207">
        <v>0</v>
      </c>
      <c r="O67" s="207">
        <v>0</v>
      </c>
      <c r="P67" s="208">
        <f>F67*G67*5/12</f>
        <v>2500</v>
      </c>
      <c r="Q67" s="199">
        <f t="shared" si="35"/>
        <v>2500</v>
      </c>
      <c r="R67" s="39">
        <f t="shared" si="34"/>
        <v>0.1388888888888889</v>
      </c>
      <c r="T67" s="224"/>
      <c r="U67" s="224"/>
      <c r="V67" s="224"/>
    </row>
    <row r="68" spans="1:22" ht="23.4" customHeight="1" x14ac:dyDescent="0.35">
      <c r="A68" s="4"/>
      <c r="B68" s="231" t="s">
        <v>343</v>
      </c>
      <c r="C68" s="11"/>
      <c r="D68" s="13" t="s">
        <v>69</v>
      </c>
      <c r="E68" s="8" t="s">
        <v>68</v>
      </c>
      <c r="F68" s="9">
        <v>1000</v>
      </c>
      <c r="G68" s="8">
        <v>4</v>
      </c>
      <c r="H68" s="10">
        <v>3</v>
      </c>
      <c r="I68" s="30">
        <f t="shared" si="31"/>
        <v>12000</v>
      </c>
      <c r="J68" s="192">
        <f t="shared" si="32"/>
        <v>1666.6666666666667</v>
      </c>
      <c r="K68" s="193">
        <f t="shared" si="33"/>
        <v>10333.333333333334</v>
      </c>
      <c r="L68" s="87" t="e">
        <f>IF(#REF!="","",I68-#REF!)</f>
        <v>#REF!</v>
      </c>
      <c r="M68" s="113"/>
      <c r="N68" s="207">
        <v>0</v>
      </c>
      <c r="O68" s="207">
        <v>0</v>
      </c>
      <c r="P68" s="208">
        <f>F68*G68*5/12</f>
        <v>1666.6666666666667</v>
      </c>
      <c r="Q68" s="199">
        <f t="shared" si="35"/>
        <v>1666.6666666666667</v>
      </c>
      <c r="R68" s="39">
        <f t="shared" si="34"/>
        <v>0.1388888888888889</v>
      </c>
      <c r="T68" s="224"/>
      <c r="U68" s="224"/>
      <c r="V68" s="224"/>
    </row>
    <row r="69" spans="1:22" ht="23.4" customHeight="1" x14ac:dyDescent="0.35">
      <c r="A69" s="4"/>
      <c r="B69" s="231" t="s">
        <v>344</v>
      </c>
      <c r="C69" s="11"/>
      <c r="D69" s="13" t="s">
        <v>70</v>
      </c>
      <c r="E69" s="8" t="s">
        <v>32</v>
      </c>
      <c r="F69" s="9">
        <v>7500</v>
      </c>
      <c r="G69" s="8">
        <v>1</v>
      </c>
      <c r="H69" s="10">
        <v>3</v>
      </c>
      <c r="I69" s="30">
        <f t="shared" si="31"/>
        <v>22500</v>
      </c>
      <c r="J69" s="192">
        <f t="shared" si="32"/>
        <v>3125</v>
      </c>
      <c r="K69" s="193">
        <f t="shared" si="33"/>
        <v>19375</v>
      </c>
      <c r="L69" s="87" t="e">
        <f>IF(#REF!="","",I69-#REF!)</f>
        <v>#REF!</v>
      </c>
      <c r="M69" s="113"/>
      <c r="N69" s="207">
        <v>0</v>
      </c>
      <c r="O69" s="207">
        <v>0</v>
      </c>
      <c r="P69" s="208">
        <f>F69*G69*5/12</f>
        <v>3125</v>
      </c>
      <c r="Q69" s="199">
        <f t="shared" si="35"/>
        <v>3125</v>
      </c>
      <c r="R69" s="39">
        <f t="shared" si="34"/>
        <v>0.1388888888888889</v>
      </c>
      <c r="T69" s="224"/>
      <c r="U69" s="224"/>
      <c r="V69" s="224"/>
    </row>
    <row r="70" spans="1:22" ht="23.4" customHeight="1" x14ac:dyDescent="0.35">
      <c r="A70" s="4"/>
      <c r="B70" s="231" t="s">
        <v>345</v>
      </c>
      <c r="C70" s="11"/>
      <c r="D70" s="13" t="s">
        <v>71</v>
      </c>
      <c r="E70" s="8" t="s">
        <v>32</v>
      </c>
      <c r="F70" s="9">
        <v>45000</v>
      </c>
      <c r="G70" s="8">
        <v>1</v>
      </c>
      <c r="H70" s="10">
        <v>0.6</v>
      </c>
      <c r="I70" s="30">
        <f t="shared" si="31"/>
        <v>27000</v>
      </c>
      <c r="J70" s="192">
        <f t="shared" si="32"/>
        <v>8100</v>
      </c>
      <c r="K70" s="193">
        <f t="shared" si="33"/>
        <v>18900</v>
      </c>
      <c r="L70" s="87" t="e">
        <f>IF(#REF!="","",I70-#REF!)</f>
        <v>#REF!</v>
      </c>
      <c r="M70" s="113"/>
      <c r="N70" s="207">
        <v>0</v>
      </c>
      <c r="O70" s="207">
        <v>0</v>
      </c>
      <c r="P70" s="208">
        <v>8100</v>
      </c>
      <c r="Q70" s="199">
        <f>SUM(N70:P70)</f>
        <v>8100</v>
      </c>
      <c r="R70" s="39">
        <f t="shared" si="34"/>
        <v>0.3</v>
      </c>
      <c r="T70" s="224"/>
      <c r="U70" s="224"/>
      <c r="V70" s="224"/>
    </row>
    <row r="71" spans="1:22" ht="23.4" customHeight="1" x14ac:dyDescent="0.35">
      <c r="A71" s="4"/>
      <c r="B71" s="231" t="s">
        <v>346</v>
      </c>
      <c r="C71" s="11"/>
      <c r="D71" s="13" t="s">
        <v>72</v>
      </c>
      <c r="E71" s="8" t="s">
        <v>27</v>
      </c>
      <c r="F71" s="9">
        <v>1800</v>
      </c>
      <c r="G71" s="8">
        <v>4</v>
      </c>
      <c r="H71" s="10">
        <v>2</v>
      </c>
      <c r="I71" s="30">
        <f t="shared" si="31"/>
        <v>14400</v>
      </c>
      <c r="J71" s="192">
        <f t="shared" si="32"/>
        <v>0</v>
      </c>
      <c r="K71" s="193">
        <f t="shared" si="33"/>
        <v>14400</v>
      </c>
      <c r="L71" s="87" t="e">
        <f>IF(#REF!="","",I71-#REF!)</f>
        <v>#REF!</v>
      </c>
      <c r="M71" s="144"/>
      <c r="N71" s="207">
        <v>0</v>
      </c>
      <c r="O71" s="207">
        <v>0</v>
      </c>
      <c r="P71" s="208">
        <v>0</v>
      </c>
      <c r="Q71" s="199">
        <f t="shared" si="35"/>
        <v>0</v>
      </c>
      <c r="R71" s="39">
        <f t="shared" si="34"/>
        <v>0</v>
      </c>
      <c r="T71" s="225"/>
      <c r="U71" s="224"/>
      <c r="V71" s="224"/>
    </row>
    <row r="72" spans="1:22" ht="23.4" customHeight="1" x14ac:dyDescent="0.35">
      <c r="A72" s="4"/>
      <c r="B72" s="231" t="s">
        <v>347</v>
      </c>
      <c r="C72" s="11"/>
      <c r="D72" s="13" t="s">
        <v>73</v>
      </c>
      <c r="E72" s="8" t="s">
        <v>74</v>
      </c>
      <c r="F72" s="9">
        <v>1000</v>
      </c>
      <c r="G72" s="8">
        <v>4</v>
      </c>
      <c r="H72" s="10">
        <v>6</v>
      </c>
      <c r="I72" s="30">
        <f t="shared" si="31"/>
        <v>24000</v>
      </c>
      <c r="J72" s="192">
        <f t="shared" si="32"/>
        <v>4000</v>
      </c>
      <c r="K72" s="193">
        <f t="shared" si="33"/>
        <v>20000</v>
      </c>
      <c r="L72" s="87" t="e">
        <f>IF(#REF!="","",I72-#REF!)</f>
        <v>#REF!</v>
      </c>
      <c r="M72" s="144"/>
      <c r="N72" s="207">
        <v>0</v>
      </c>
      <c r="O72" s="207">
        <v>0</v>
      </c>
      <c r="P72" s="208">
        <f>F72*G72</f>
        <v>4000</v>
      </c>
      <c r="Q72" s="199">
        <f t="shared" si="35"/>
        <v>4000</v>
      </c>
      <c r="R72" s="39">
        <f t="shared" si="34"/>
        <v>0.16666666666666666</v>
      </c>
      <c r="T72" s="225"/>
      <c r="U72" s="224"/>
      <c r="V72" s="224"/>
    </row>
    <row r="73" spans="1:22" ht="23.4" customHeight="1" x14ac:dyDescent="0.35">
      <c r="A73" s="1"/>
      <c r="B73" s="64"/>
      <c r="C73" s="18"/>
      <c r="D73" s="25" t="s">
        <v>388</v>
      </c>
      <c r="E73" s="23"/>
      <c r="F73" s="26"/>
      <c r="G73" s="23"/>
      <c r="H73" s="29"/>
      <c r="I73" s="27">
        <f>SUM(I63:I72)</f>
        <v>230600</v>
      </c>
      <c r="J73" s="177">
        <f t="shared" si="32"/>
        <v>35291.666666666672</v>
      </c>
      <c r="K73" s="178">
        <f t="shared" si="33"/>
        <v>195308.33333333331</v>
      </c>
      <c r="L73" s="88" t="e">
        <f>IF(#REF!="","",I73-#REF!)</f>
        <v>#REF!</v>
      </c>
      <c r="M73" s="115"/>
      <c r="N73" s="209"/>
      <c r="O73" s="209"/>
      <c r="P73" s="210"/>
      <c r="Q73" s="200">
        <f>Q63+Q64+Q65+Q66+Q67+Q68+Q69+Q70+Q71+Q72</f>
        <v>35291.666666666672</v>
      </c>
      <c r="R73" s="71">
        <f t="shared" si="34"/>
        <v>0.15304278693263951</v>
      </c>
      <c r="T73" s="225"/>
      <c r="U73" s="224"/>
      <c r="V73" s="224"/>
    </row>
    <row r="74" spans="1:22" ht="23.4" customHeight="1" x14ac:dyDescent="0.35">
      <c r="A74" s="19"/>
      <c r="B74" s="64" t="s">
        <v>348</v>
      </c>
      <c r="C74" s="6"/>
      <c r="D74" s="7" t="s">
        <v>75</v>
      </c>
      <c r="E74" s="5"/>
      <c r="F74" s="20"/>
      <c r="G74" s="5"/>
      <c r="H74" s="21"/>
      <c r="I74" s="31"/>
      <c r="J74" s="192"/>
      <c r="K74" s="193"/>
      <c r="L74" s="87" t="e">
        <f>IF(#REF!="","",I74-#REF!)</f>
        <v>#REF!</v>
      </c>
      <c r="M74" s="113"/>
      <c r="N74" s="207"/>
      <c r="O74" s="207"/>
      <c r="P74" s="208"/>
      <c r="Q74" s="199"/>
      <c r="R74" s="39"/>
      <c r="T74" s="225"/>
      <c r="U74" s="224"/>
      <c r="V74" s="224"/>
    </row>
    <row r="75" spans="1:22" ht="23.4" customHeight="1" x14ac:dyDescent="0.35">
      <c r="A75" s="4"/>
      <c r="B75" s="231"/>
      <c r="C75" s="11"/>
      <c r="D75" s="13" t="s">
        <v>301</v>
      </c>
      <c r="E75" s="8"/>
      <c r="F75" s="9"/>
      <c r="G75" s="8"/>
      <c r="H75" s="10"/>
      <c r="I75" s="30"/>
      <c r="J75" s="192"/>
      <c r="K75" s="193"/>
      <c r="L75" s="87" t="e">
        <f>IF(#REF!="","",I75-#REF!)</f>
        <v>#REF!</v>
      </c>
      <c r="M75" s="113"/>
      <c r="N75" s="207"/>
      <c r="O75" s="207"/>
      <c r="P75" s="208"/>
      <c r="Q75" s="199"/>
      <c r="R75" s="39"/>
      <c r="T75" s="225"/>
      <c r="U75" s="224"/>
      <c r="V75" s="224"/>
    </row>
    <row r="76" spans="1:22" s="43" customFormat="1" ht="23.4" customHeight="1" x14ac:dyDescent="0.35">
      <c r="A76" s="4"/>
      <c r="B76" s="231" t="s">
        <v>349</v>
      </c>
      <c r="C76" s="11" t="s">
        <v>76</v>
      </c>
      <c r="D76" s="13" t="s">
        <v>77</v>
      </c>
      <c r="E76" s="8" t="s">
        <v>78</v>
      </c>
      <c r="F76" s="9">
        <v>400</v>
      </c>
      <c r="G76" s="8">
        <v>500</v>
      </c>
      <c r="H76" s="10">
        <v>3</v>
      </c>
      <c r="I76" s="30">
        <f t="shared" ref="I76:I82" si="36">F76*G76*H76</f>
        <v>600000</v>
      </c>
      <c r="J76" s="194">
        <f t="shared" ref="J76:J81" si="37">Q76</f>
        <v>60000</v>
      </c>
      <c r="K76" s="195">
        <f>I76-J76</f>
        <v>540000</v>
      </c>
      <c r="L76" s="90" t="e">
        <f>IF(#REF!="","",I76-#REF!)</f>
        <v>#REF!</v>
      </c>
      <c r="M76" s="254" t="s">
        <v>395</v>
      </c>
      <c r="N76" s="215">
        <v>0</v>
      </c>
      <c r="O76" s="215">
        <v>0</v>
      </c>
      <c r="P76" s="251">
        <v>60000</v>
      </c>
      <c r="Q76" s="252">
        <f>SUM(N76:P76)</f>
        <v>60000</v>
      </c>
      <c r="R76" s="45">
        <f>Q76/I76</f>
        <v>0.1</v>
      </c>
      <c r="T76" s="225"/>
      <c r="U76" s="225"/>
      <c r="V76" s="225"/>
    </row>
    <row r="77" spans="1:22" s="43" customFormat="1" ht="23.4" customHeight="1" x14ac:dyDescent="0.35">
      <c r="A77" s="4"/>
      <c r="B77" s="231" t="s">
        <v>350</v>
      </c>
      <c r="C77" s="11" t="s">
        <v>76</v>
      </c>
      <c r="D77" s="13" t="s">
        <v>79</v>
      </c>
      <c r="E77" s="8" t="s">
        <v>27</v>
      </c>
      <c r="F77" s="9">
        <v>25000</v>
      </c>
      <c r="G77" s="8">
        <v>40</v>
      </c>
      <c r="H77" s="10">
        <v>1</v>
      </c>
      <c r="I77" s="30">
        <f t="shared" si="36"/>
        <v>1000000</v>
      </c>
      <c r="J77" s="194">
        <f t="shared" si="37"/>
        <v>50000</v>
      </c>
      <c r="K77" s="195">
        <f>I77-J77</f>
        <v>950000</v>
      </c>
      <c r="L77" s="90" t="e">
        <f>IF(#REF!="","",I77-#REF!)</f>
        <v>#REF!</v>
      </c>
      <c r="M77" s="119" t="s">
        <v>304</v>
      </c>
      <c r="N77" s="215">
        <v>0</v>
      </c>
      <c r="O77" s="215">
        <v>0</v>
      </c>
      <c r="P77" s="251">
        <v>50000</v>
      </c>
      <c r="Q77" s="252">
        <f t="shared" ref="Q77:Q81" si="38">SUM(N77:P77)</f>
        <v>50000</v>
      </c>
      <c r="R77" s="45">
        <f>Q77/I77</f>
        <v>0.05</v>
      </c>
      <c r="T77" s="225"/>
      <c r="U77" s="225"/>
      <c r="V77" s="225"/>
    </row>
    <row r="78" spans="1:22" ht="23.4" customHeight="1" x14ac:dyDescent="0.35">
      <c r="A78" s="4"/>
      <c r="B78" s="231" t="s">
        <v>351</v>
      </c>
      <c r="C78" s="11" t="s">
        <v>76</v>
      </c>
      <c r="D78" s="13" t="s">
        <v>122</v>
      </c>
      <c r="E78" s="8" t="s">
        <v>27</v>
      </c>
      <c r="F78" s="9">
        <v>10000</v>
      </c>
      <c r="G78" s="8">
        <v>4</v>
      </c>
      <c r="H78" s="10">
        <v>4</v>
      </c>
      <c r="I78" s="30">
        <f t="shared" si="36"/>
        <v>160000</v>
      </c>
      <c r="J78" s="192">
        <f t="shared" si="37"/>
        <v>0</v>
      </c>
      <c r="K78" s="193">
        <f>I78-J78</f>
        <v>160000</v>
      </c>
      <c r="L78" s="87" t="e">
        <f>IF(#REF!="","",I78-#REF!)</f>
        <v>#REF!</v>
      </c>
      <c r="M78" s="119"/>
      <c r="N78" s="207">
        <v>0</v>
      </c>
      <c r="O78" s="207">
        <v>0</v>
      </c>
      <c r="P78" s="208">
        <v>0</v>
      </c>
      <c r="Q78" s="199">
        <f t="shared" si="38"/>
        <v>0</v>
      </c>
      <c r="R78" s="39">
        <f>Q78/I78</f>
        <v>0</v>
      </c>
      <c r="T78" s="225"/>
      <c r="U78" s="224"/>
      <c r="V78" s="224"/>
    </row>
    <row r="79" spans="1:22" ht="23.4" customHeight="1" x14ac:dyDescent="0.35">
      <c r="A79" s="4"/>
      <c r="B79" s="231"/>
      <c r="C79" s="11"/>
      <c r="D79" s="13" t="s">
        <v>302</v>
      </c>
      <c r="E79" s="8"/>
      <c r="F79" s="9"/>
      <c r="G79" s="8"/>
      <c r="H79" s="10"/>
      <c r="I79" s="30"/>
      <c r="J79" s="192"/>
      <c r="K79" s="193"/>
      <c r="L79" s="87"/>
      <c r="M79" s="119"/>
      <c r="N79" s="207"/>
      <c r="O79" s="207"/>
      <c r="P79" s="208"/>
      <c r="Q79" s="199"/>
      <c r="R79" s="39"/>
      <c r="T79" s="225"/>
      <c r="U79" s="224"/>
      <c r="V79" s="224"/>
    </row>
    <row r="80" spans="1:22" ht="23.4" customHeight="1" x14ac:dyDescent="0.35">
      <c r="A80" s="4"/>
      <c r="B80" s="231" t="s">
        <v>352</v>
      </c>
      <c r="C80" s="11" t="s">
        <v>76</v>
      </c>
      <c r="D80" s="13" t="s">
        <v>80</v>
      </c>
      <c r="E80" s="8" t="s">
        <v>78</v>
      </c>
      <c r="F80" s="9">
        <v>400</v>
      </c>
      <c r="G80" s="8">
        <v>200</v>
      </c>
      <c r="H80" s="10">
        <v>3</v>
      </c>
      <c r="I80" s="30">
        <f t="shared" si="36"/>
        <v>240000</v>
      </c>
      <c r="J80" s="192">
        <f>Q80</f>
        <v>0</v>
      </c>
      <c r="K80" s="193">
        <f>I80-J80</f>
        <v>240000</v>
      </c>
      <c r="L80" s="87" t="e">
        <f>IF(#REF!="","",I80-#REF!)</f>
        <v>#REF!</v>
      </c>
      <c r="M80" s="120"/>
      <c r="N80" s="207">
        <v>0</v>
      </c>
      <c r="O80" s="207">
        <v>0</v>
      </c>
      <c r="P80" s="208">
        <v>0</v>
      </c>
      <c r="Q80" s="199">
        <f t="shared" si="38"/>
        <v>0</v>
      </c>
      <c r="R80" s="39">
        <f>Q80/I80</f>
        <v>0</v>
      </c>
      <c r="T80" s="225"/>
      <c r="U80" s="224"/>
      <c r="V80" s="224"/>
    </row>
    <row r="81" spans="1:28" s="43" customFormat="1" ht="23.4" customHeight="1" x14ac:dyDescent="0.35">
      <c r="A81" s="4"/>
      <c r="B81" s="231" t="s">
        <v>353</v>
      </c>
      <c r="C81" s="11" t="s">
        <v>76</v>
      </c>
      <c r="D81" s="13" t="s">
        <v>121</v>
      </c>
      <c r="E81" s="8" t="s">
        <v>32</v>
      </c>
      <c r="F81" s="9">
        <v>508788</v>
      </c>
      <c r="G81" s="8">
        <v>1</v>
      </c>
      <c r="H81" s="10">
        <v>1</v>
      </c>
      <c r="I81" s="30">
        <f t="shared" si="36"/>
        <v>508788</v>
      </c>
      <c r="J81" s="194">
        <f t="shared" si="37"/>
        <v>0</v>
      </c>
      <c r="K81" s="195">
        <f>I81-J81</f>
        <v>508788</v>
      </c>
      <c r="L81" s="90" t="e">
        <f>IF(#REF!="","",I81-#REF!)</f>
        <v>#REF!</v>
      </c>
      <c r="M81" s="119"/>
      <c r="N81" s="215">
        <v>0</v>
      </c>
      <c r="O81" s="215">
        <v>0</v>
      </c>
      <c r="P81" s="251">
        <v>0</v>
      </c>
      <c r="Q81" s="252">
        <f t="shared" si="38"/>
        <v>0</v>
      </c>
      <c r="R81" s="45">
        <f>Q81/I81</f>
        <v>0</v>
      </c>
      <c r="T81" s="225"/>
      <c r="U81" s="225"/>
      <c r="V81" s="225"/>
    </row>
    <row r="82" spans="1:28" s="43" customFormat="1" ht="23.4" customHeight="1" x14ac:dyDescent="0.35">
      <c r="A82" s="4"/>
      <c r="B82" s="231" t="s">
        <v>354</v>
      </c>
      <c r="C82" s="11" t="s">
        <v>76</v>
      </c>
      <c r="D82" s="13" t="s">
        <v>81</v>
      </c>
      <c r="E82" s="8" t="s">
        <v>32</v>
      </c>
      <c r="F82" s="9">
        <v>500000</v>
      </c>
      <c r="G82" s="8">
        <v>1</v>
      </c>
      <c r="H82" s="10">
        <v>1</v>
      </c>
      <c r="I82" s="30">
        <f t="shared" si="36"/>
        <v>500000</v>
      </c>
      <c r="J82" s="192">
        <f>Q82</f>
        <v>20000</v>
      </c>
      <c r="K82" s="193">
        <f>I82-J82</f>
        <v>480000</v>
      </c>
      <c r="L82" s="90" t="e">
        <f>IF(#REF!="","",I82-#REF!)</f>
        <v>#REF!</v>
      </c>
      <c r="M82" s="119" t="s">
        <v>303</v>
      </c>
      <c r="N82" s="215">
        <v>0</v>
      </c>
      <c r="O82" s="207">
        <v>0</v>
      </c>
      <c r="P82" s="208">
        <v>20000</v>
      </c>
      <c r="Q82" s="199">
        <f>SUM(N82:P82)</f>
        <v>20000</v>
      </c>
      <c r="R82" s="45">
        <f>Q82/I82</f>
        <v>0.04</v>
      </c>
      <c r="T82" s="225"/>
      <c r="U82" s="224"/>
      <c r="V82" s="224"/>
      <c r="W82" s="42"/>
      <c r="X82" s="42"/>
      <c r="Y82" s="42"/>
      <c r="Z82" s="42"/>
      <c r="AA82" s="42"/>
      <c r="AB82" s="42"/>
    </row>
    <row r="83" spans="1:28" ht="23.4" customHeight="1" x14ac:dyDescent="0.35">
      <c r="A83" s="1"/>
      <c r="B83" s="64"/>
      <c r="C83" s="18"/>
      <c r="D83" s="25" t="s">
        <v>387</v>
      </c>
      <c r="E83" s="23"/>
      <c r="F83" s="26"/>
      <c r="G83" s="23"/>
      <c r="H83" s="29"/>
      <c r="I83" s="27">
        <f>SUM(I76:I82)</f>
        <v>3008788</v>
      </c>
      <c r="J83" s="177">
        <f t="shared" ref="J83" si="39">Q83</f>
        <v>130000</v>
      </c>
      <c r="K83" s="178">
        <f>I83-J83</f>
        <v>2878788</v>
      </c>
      <c r="L83" s="88" t="e">
        <f>IF(#REF!="","",I83-#REF!)</f>
        <v>#REF!</v>
      </c>
      <c r="M83" s="115"/>
      <c r="N83" s="209"/>
      <c r="O83" s="209"/>
      <c r="P83" s="210"/>
      <c r="Q83" s="200">
        <f>Q76+Q77+Q78+Q79+Q80+Q81+Q82</f>
        <v>130000</v>
      </c>
      <c r="R83" s="56">
        <f>Q83/I83</f>
        <v>4.3206766312548439E-2</v>
      </c>
      <c r="T83" s="225"/>
      <c r="U83" s="224"/>
      <c r="V83" s="224"/>
    </row>
    <row r="84" spans="1:28" ht="23.4" customHeight="1" x14ac:dyDescent="0.35">
      <c r="A84" s="19"/>
      <c r="B84" s="64" t="s">
        <v>355</v>
      </c>
      <c r="C84" s="6"/>
      <c r="D84" s="7" t="s">
        <v>83</v>
      </c>
      <c r="E84" s="5"/>
      <c r="F84" s="20"/>
      <c r="G84" s="5"/>
      <c r="H84" s="21"/>
      <c r="I84" s="31"/>
      <c r="J84" s="192"/>
      <c r="K84" s="193"/>
      <c r="L84" s="87" t="e">
        <f>IF(#REF!="","",I84-#REF!)</f>
        <v>#REF!</v>
      </c>
      <c r="M84" s="113"/>
      <c r="N84" s="207"/>
      <c r="O84" s="207"/>
      <c r="P84" s="208"/>
      <c r="Q84" s="199"/>
      <c r="R84" s="39"/>
      <c r="T84" s="225"/>
      <c r="U84" s="224"/>
      <c r="V84" s="224"/>
    </row>
    <row r="85" spans="1:28" ht="23.4" customHeight="1" x14ac:dyDescent="0.35">
      <c r="A85" s="4"/>
      <c r="B85" s="231" t="s">
        <v>356</v>
      </c>
      <c r="C85" s="11" t="s">
        <v>84</v>
      </c>
      <c r="D85" s="13" t="s">
        <v>85</v>
      </c>
      <c r="E85" s="8" t="s">
        <v>86</v>
      </c>
      <c r="F85" s="9">
        <v>1500</v>
      </c>
      <c r="G85" s="8">
        <v>600</v>
      </c>
      <c r="H85" s="10">
        <v>1</v>
      </c>
      <c r="I85" s="30">
        <f>F85*G85*H85</f>
        <v>900000</v>
      </c>
      <c r="J85" s="192">
        <f t="shared" ref="J85:J87" si="40">Q85</f>
        <v>90000</v>
      </c>
      <c r="K85" s="193">
        <f>I85-J85</f>
        <v>810000</v>
      </c>
      <c r="L85" s="87" t="e">
        <f>IF(#REF!="","",I85-#REF!)</f>
        <v>#REF!</v>
      </c>
      <c r="M85" s="113"/>
      <c r="N85" s="207">
        <v>0</v>
      </c>
      <c r="O85" s="207">
        <v>0</v>
      </c>
      <c r="P85" s="208">
        <f>10%*I85</f>
        <v>90000</v>
      </c>
      <c r="Q85" s="199">
        <f>SUM(N85:P85)</f>
        <v>90000</v>
      </c>
      <c r="R85" s="39">
        <f>Q85/I85</f>
        <v>0.1</v>
      </c>
      <c r="T85" s="225"/>
      <c r="U85" s="224"/>
      <c r="V85" s="224"/>
    </row>
    <row r="86" spans="1:28" ht="23.4" customHeight="1" x14ac:dyDescent="0.35">
      <c r="A86" s="4"/>
      <c r="B86" s="231" t="s">
        <v>357</v>
      </c>
      <c r="C86" s="11" t="s">
        <v>84</v>
      </c>
      <c r="D86" s="13" t="s">
        <v>87</v>
      </c>
      <c r="E86" s="8" t="s">
        <v>88</v>
      </c>
      <c r="F86" s="9">
        <v>500</v>
      </c>
      <c r="G86" s="8">
        <v>600</v>
      </c>
      <c r="H86" s="10">
        <v>1</v>
      </c>
      <c r="I86" s="30">
        <f>F86*G86*H86</f>
        <v>300000</v>
      </c>
      <c r="J86" s="192">
        <f t="shared" si="40"/>
        <v>0</v>
      </c>
      <c r="K86" s="193">
        <f>I86-J86</f>
        <v>300000</v>
      </c>
      <c r="L86" s="87" t="e">
        <f>IF(#REF!="","",I86-#REF!)</f>
        <v>#REF!</v>
      </c>
      <c r="M86" s="113"/>
      <c r="N86" s="207">
        <v>0</v>
      </c>
      <c r="O86" s="207">
        <v>0</v>
      </c>
      <c r="P86" s="208">
        <v>0</v>
      </c>
      <c r="Q86" s="199">
        <f t="shared" ref="Q86:Q87" si="41">SUM(N86:P86)</f>
        <v>0</v>
      </c>
      <c r="R86" s="39">
        <f>Q86/I86</f>
        <v>0</v>
      </c>
      <c r="T86" s="225"/>
      <c r="U86" s="224"/>
      <c r="V86" s="224"/>
    </row>
    <row r="87" spans="1:28" ht="23.4" customHeight="1" x14ac:dyDescent="0.35">
      <c r="A87" s="4"/>
      <c r="B87" s="231" t="s">
        <v>358</v>
      </c>
      <c r="C87" s="11" t="s">
        <v>84</v>
      </c>
      <c r="D87" s="13" t="s">
        <v>89</v>
      </c>
      <c r="E87" s="8" t="s">
        <v>90</v>
      </c>
      <c r="F87" s="9">
        <v>50</v>
      </c>
      <c r="G87" s="8">
        <v>1</v>
      </c>
      <c r="H87" s="10">
        <v>600</v>
      </c>
      <c r="I87" s="30">
        <f>F87*G87*H87</f>
        <v>30000</v>
      </c>
      <c r="J87" s="192">
        <f t="shared" si="40"/>
        <v>0</v>
      </c>
      <c r="K87" s="193">
        <f>I87-J87</f>
        <v>30000</v>
      </c>
      <c r="L87" s="87" t="e">
        <f>IF(#REF!="","",I87-#REF!)</f>
        <v>#REF!</v>
      </c>
      <c r="M87" s="113"/>
      <c r="N87" s="207">
        <v>0</v>
      </c>
      <c r="O87" s="207">
        <v>0</v>
      </c>
      <c r="P87" s="208">
        <v>0</v>
      </c>
      <c r="Q87" s="199">
        <f t="shared" si="41"/>
        <v>0</v>
      </c>
      <c r="R87" s="39">
        <f>Q87/I87</f>
        <v>0</v>
      </c>
      <c r="T87" s="224"/>
      <c r="U87" s="224"/>
      <c r="V87" s="224"/>
    </row>
    <row r="88" spans="1:28" ht="23.4" customHeight="1" x14ac:dyDescent="0.35">
      <c r="A88" s="1"/>
      <c r="B88" s="64"/>
      <c r="C88" s="18"/>
      <c r="D88" s="25" t="s">
        <v>386</v>
      </c>
      <c r="E88" s="23"/>
      <c r="F88" s="26"/>
      <c r="G88" s="23"/>
      <c r="H88" s="29"/>
      <c r="I88" s="27">
        <f>SUM(I85:I87)</f>
        <v>1230000</v>
      </c>
      <c r="J88" s="177">
        <f t="shared" ref="J88" si="42">SUM(J85:J87)</f>
        <v>90000</v>
      </c>
      <c r="K88" s="178">
        <f>SUM(K85:K87)</f>
        <v>1140000</v>
      </c>
      <c r="L88" s="88" t="e">
        <f>IF(#REF!="","",I88-#REF!)</f>
        <v>#REF!</v>
      </c>
      <c r="M88" s="115"/>
      <c r="N88" s="209"/>
      <c r="O88" s="209"/>
      <c r="P88" s="210"/>
      <c r="Q88" s="200">
        <f>Q85+Q86+Q87</f>
        <v>90000</v>
      </c>
      <c r="R88" s="56">
        <f>Q88/I88</f>
        <v>7.3170731707317069E-2</v>
      </c>
      <c r="T88" s="224"/>
      <c r="U88" s="224"/>
      <c r="V88" s="224"/>
    </row>
    <row r="89" spans="1:28" ht="23.4" customHeight="1" x14ac:dyDescent="0.35">
      <c r="A89" s="19"/>
      <c r="B89" s="64" t="s">
        <v>359</v>
      </c>
      <c r="C89" s="6"/>
      <c r="D89" s="7" t="s">
        <v>92</v>
      </c>
      <c r="E89" s="5"/>
      <c r="F89" s="20"/>
      <c r="G89" s="5"/>
      <c r="H89" s="21"/>
      <c r="I89" s="31"/>
      <c r="J89" s="192"/>
      <c r="K89" s="193"/>
      <c r="L89" s="87" t="e">
        <f>IF(#REF!="","",I89-#REF!)</f>
        <v>#REF!</v>
      </c>
      <c r="M89" s="113"/>
      <c r="N89" s="207"/>
      <c r="O89" s="207"/>
      <c r="P89" s="208"/>
      <c r="Q89" s="199"/>
      <c r="R89" s="39"/>
      <c r="T89" s="224"/>
      <c r="U89" s="224"/>
      <c r="V89" s="224"/>
    </row>
    <row r="90" spans="1:28" ht="23.4" customHeight="1" x14ac:dyDescent="0.35">
      <c r="A90" s="4"/>
      <c r="B90" s="231" t="s">
        <v>360</v>
      </c>
      <c r="C90" s="11" t="s">
        <v>84</v>
      </c>
      <c r="D90" s="13" t="s">
        <v>124</v>
      </c>
      <c r="E90" s="8" t="s">
        <v>68</v>
      </c>
      <c r="F90" s="9">
        <v>5000</v>
      </c>
      <c r="G90" s="8">
        <v>12</v>
      </c>
      <c r="H90" s="10">
        <v>3</v>
      </c>
      <c r="I90" s="30">
        <f t="shared" ref="I90:I97" si="43">F90*G90*H90</f>
        <v>180000</v>
      </c>
      <c r="J90" s="192">
        <f t="shared" ref="J90:J98" si="44">Q90</f>
        <v>15000</v>
      </c>
      <c r="K90" s="193">
        <f t="shared" ref="K90:K98" si="45">I90-J90</f>
        <v>165000</v>
      </c>
      <c r="L90" s="87" t="e">
        <f>IF(#REF!="","",I90-#REF!)</f>
        <v>#REF!</v>
      </c>
      <c r="M90" s="144"/>
      <c r="N90" s="207">
        <v>0</v>
      </c>
      <c r="O90" s="215">
        <v>0</v>
      </c>
      <c r="P90" s="251">
        <f>F90*P3</f>
        <v>15000</v>
      </c>
      <c r="Q90" s="199">
        <f t="shared" ref="Q90:Q97" si="46">SUM(N90:P90)</f>
        <v>15000</v>
      </c>
      <c r="R90" s="39">
        <f t="shared" ref="R90:R98" si="47">Q90/I90</f>
        <v>8.3333333333333329E-2</v>
      </c>
      <c r="T90" s="224"/>
      <c r="U90" s="224"/>
      <c r="V90" s="224"/>
    </row>
    <row r="91" spans="1:28" ht="23.4" customHeight="1" x14ac:dyDescent="0.35">
      <c r="A91" s="4"/>
      <c r="B91" s="231" t="s">
        <v>361</v>
      </c>
      <c r="C91" s="11" t="s">
        <v>84</v>
      </c>
      <c r="D91" s="13" t="s">
        <v>93</v>
      </c>
      <c r="E91" s="8" t="s">
        <v>94</v>
      </c>
      <c r="F91" s="9">
        <v>600</v>
      </c>
      <c r="G91" s="8">
        <v>600</v>
      </c>
      <c r="H91" s="10">
        <v>1</v>
      </c>
      <c r="I91" s="30">
        <f t="shared" si="43"/>
        <v>360000</v>
      </c>
      <c r="J91" s="192">
        <f t="shared" si="44"/>
        <v>40000</v>
      </c>
      <c r="K91" s="193">
        <f t="shared" si="45"/>
        <v>320000</v>
      </c>
      <c r="L91" s="87" t="e">
        <f>IF(#REF!="","",I91-#REF!)</f>
        <v>#REF!</v>
      </c>
      <c r="M91" s="144"/>
      <c r="N91" s="207">
        <v>0</v>
      </c>
      <c r="O91" s="215">
        <v>20000</v>
      </c>
      <c r="P91" s="251">
        <v>20000</v>
      </c>
      <c r="Q91" s="199">
        <f t="shared" si="46"/>
        <v>40000</v>
      </c>
      <c r="R91" s="39">
        <f t="shared" si="47"/>
        <v>0.1111111111111111</v>
      </c>
      <c r="T91" s="224"/>
      <c r="U91" s="224"/>
      <c r="V91" s="224"/>
    </row>
    <row r="92" spans="1:28" ht="23.4" customHeight="1" x14ac:dyDescent="0.35">
      <c r="A92" s="4"/>
      <c r="B92" s="231" t="s">
        <v>362</v>
      </c>
      <c r="C92" s="11" t="s">
        <v>84</v>
      </c>
      <c r="D92" s="13" t="s">
        <v>95</v>
      </c>
      <c r="E92" s="8" t="s">
        <v>86</v>
      </c>
      <c r="F92" s="9">
        <v>1800</v>
      </c>
      <c r="G92" s="8">
        <v>600</v>
      </c>
      <c r="H92" s="10">
        <v>0.6</v>
      </c>
      <c r="I92" s="30">
        <f t="shared" si="43"/>
        <v>648000</v>
      </c>
      <c r="J92" s="192">
        <f t="shared" si="44"/>
        <v>0</v>
      </c>
      <c r="K92" s="193">
        <f t="shared" si="45"/>
        <v>648000</v>
      </c>
      <c r="L92" s="87" t="e">
        <f>IF(#REF!="","",I92-#REF!)</f>
        <v>#REF!</v>
      </c>
      <c r="M92" s="113"/>
      <c r="N92" s="207">
        <v>0</v>
      </c>
      <c r="O92" s="207">
        <v>0</v>
      </c>
      <c r="P92" s="208">
        <v>0</v>
      </c>
      <c r="Q92" s="199">
        <f t="shared" si="46"/>
        <v>0</v>
      </c>
      <c r="R92" s="39">
        <f t="shared" si="47"/>
        <v>0</v>
      </c>
      <c r="T92" s="224"/>
      <c r="U92" s="224"/>
      <c r="V92" s="224"/>
    </row>
    <row r="93" spans="1:28" ht="23.4" customHeight="1" x14ac:dyDescent="0.35">
      <c r="A93" s="4"/>
      <c r="B93" s="231" t="s">
        <v>363</v>
      </c>
      <c r="C93" s="11" t="s">
        <v>84</v>
      </c>
      <c r="D93" s="13" t="s">
        <v>96</v>
      </c>
      <c r="E93" s="8" t="s">
        <v>86</v>
      </c>
      <c r="F93" s="9">
        <v>220</v>
      </c>
      <c r="G93" s="8">
        <v>600</v>
      </c>
      <c r="H93" s="10">
        <v>0.6</v>
      </c>
      <c r="I93" s="30">
        <f t="shared" si="43"/>
        <v>79200</v>
      </c>
      <c r="J93" s="192">
        <f t="shared" si="44"/>
        <v>0</v>
      </c>
      <c r="K93" s="193">
        <f t="shared" si="45"/>
        <v>79200</v>
      </c>
      <c r="L93" s="87" t="e">
        <f>IF(#REF!="","",I93-#REF!)</f>
        <v>#REF!</v>
      </c>
      <c r="M93" s="113"/>
      <c r="N93" s="207">
        <v>0</v>
      </c>
      <c r="O93" s="207">
        <v>0</v>
      </c>
      <c r="P93" s="208">
        <v>0</v>
      </c>
      <c r="Q93" s="199">
        <f t="shared" si="46"/>
        <v>0</v>
      </c>
      <c r="R93" s="39">
        <f t="shared" si="47"/>
        <v>0</v>
      </c>
      <c r="T93" s="224"/>
      <c r="U93" s="224"/>
      <c r="V93" s="224"/>
    </row>
    <row r="94" spans="1:28" ht="23.4" customHeight="1" x14ac:dyDescent="0.35">
      <c r="A94" s="4"/>
      <c r="B94" s="231" t="s">
        <v>364</v>
      </c>
      <c r="C94" s="11" t="s">
        <v>84</v>
      </c>
      <c r="D94" s="13" t="s">
        <v>97</v>
      </c>
      <c r="E94" s="8" t="s">
        <v>98</v>
      </c>
      <c r="F94" s="9">
        <v>3</v>
      </c>
      <c r="G94" s="8">
        <v>25</v>
      </c>
      <c r="H94" s="10">
        <v>360</v>
      </c>
      <c r="I94" s="30">
        <f t="shared" si="43"/>
        <v>27000</v>
      </c>
      <c r="J94" s="192">
        <f t="shared" si="44"/>
        <v>0</v>
      </c>
      <c r="K94" s="193">
        <f t="shared" si="45"/>
        <v>27000</v>
      </c>
      <c r="L94" s="87" t="e">
        <f>IF(#REF!="","",I94-#REF!)</f>
        <v>#REF!</v>
      </c>
      <c r="M94" s="113"/>
      <c r="N94" s="207">
        <v>0</v>
      </c>
      <c r="O94" s="207">
        <v>0</v>
      </c>
      <c r="P94" s="208">
        <v>0</v>
      </c>
      <c r="Q94" s="199">
        <f t="shared" si="46"/>
        <v>0</v>
      </c>
      <c r="R94" s="39">
        <f t="shared" si="47"/>
        <v>0</v>
      </c>
      <c r="T94" s="224"/>
      <c r="U94" s="224"/>
      <c r="V94" s="224"/>
    </row>
    <row r="95" spans="1:28" ht="23.4" customHeight="1" x14ac:dyDescent="0.35">
      <c r="A95" s="4"/>
      <c r="B95" s="231" t="s">
        <v>365</v>
      </c>
      <c r="C95" s="11" t="s">
        <v>84</v>
      </c>
      <c r="D95" s="13" t="s">
        <v>99</v>
      </c>
      <c r="E95" s="8" t="s">
        <v>32</v>
      </c>
      <c r="F95" s="9">
        <v>25000</v>
      </c>
      <c r="G95" s="8">
        <v>4</v>
      </c>
      <c r="H95" s="10">
        <v>2</v>
      </c>
      <c r="I95" s="30">
        <f t="shared" si="43"/>
        <v>200000</v>
      </c>
      <c r="J95" s="192">
        <f t="shared" si="44"/>
        <v>0</v>
      </c>
      <c r="K95" s="193">
        <f t="shared" si="45"/>
        <v>200000</v>
      </c>
      <c r="L95" s="87" t="e">
        <f>IF(#REF!="","",I95-#REF!)</f>
        <v>#REF!</v>
      </c>
      <c r="M95" s="113"/>
      <c r="N95" s="207">
        <v>0</v>
      </c>
      <c r="O95" s="207">
        <v>0</v>
      </c>
      <c r="P95" s="208">
        <v>0</v>
      </c>
      <c r="Q95" s="199">
        <f t="shared" si="46"/>
        <v>0</v>
      </c>
      <c r="R95" s="39">
        <f t="shared" si="47"/>
        <v>0</v>
      </c>
      <c r="T95" s="224"/>
      <c r="U95" s="224"/>
      <c r="V95" s="224"/>
    </row>
    <row r="96" spans="1:28" ht="23.4" customHeight="1" x14ac:dyDescent="0.35">
      <c r="A96" s="4"/>
      <c r="B96" s="231" t="s">
        <v>366</v>
      </c>
      <c r="C96" s="11" t="s">
        <v>84</v>
      </c>
      <c r="D96" s="13" t="s">
        <v>100</v>
      </c>
      <c r="E96" s="8" t="s">
        <v>74</v>
      </c>
      <c r="F96" s="9">
        <v>2500</v>
      </c>
      <c r="G96" s="8">
        <v>4</v>
      </c>
      <c r="H96" s="10">
        <v>2</v>
      </c>
      <c r="I96" s="30">
        <f t="shared" si="43"/>
        <v>20000</v>
      </c>
      <c r="J96" s="192">
        <f t="shared" si="44"/>
        <v>0</v>
      </c>
      <c r="K96" s="193">
        <f t="shared" si="45"/>
        <v>20000</v>
      </c>
      <c r="L96" s="87" t="e">
        <f>IF(#REF!="","",I96-#REF!)</f>
        <v>#REF!</v>
      </c>
      <c r="M96" s="113"/>
      <c r="N96" s="207">
        <v>0</v>
      </c>
      <c r="O96" s="207">
        <v>0</v>
      </c>
      <c r="P96" s="208">
        <v>0</v>
      </c>
      <c r="Q96" s="199">
        <f t="shared" si="46"/>
        <v>0</v>
      </c>
      <c r="R96" s="39">
        <f t="shared" si="47"/>
        <v>0</v>
      </c>
      <c r="T96" s="224"/>
      <c r="U96" s="224"/>
      <c r="V96" s="224"/>
    </row>
    <row r="97" spans="1:22" ht="23.4" customHeight="1" x14ac:dyDescent="0.35">
      <c r="A97" s="4"/>
      <c r="B97" s="231" t="s">
        <v>367</v>
      </c>
      <c r="C97" s="11" t="s">
        <v>84</v>
      </c>
      <c r="D97" s="13" t="s">
        <v>101</v>
      </c>
      <c r="E97" s="8" t="s">
        <v>32</v>
      </c>
      <c r="F97" s="9">
        <v>500000</v>
      </c>
      <c r="G97" s="8">
        <v>1</v>
      </c>
      <c r="H97" s="10">
        <v>0.6</v>
      </c>
      <c r="I97" s="30">
        <f t="shared" si="43"/>
        <v>300000</v>
      </c>
      <c r="J97" s="192">
        <f t="shared" si="44"/>
        <v>0</v>
      </c>
      <c r="K97" s="193">
        <f t="shared" si="45"/>
        <v>300000</v>
      </c>
      <c r="L97" s="87" t="e">
        <f>IF(#REF!="","",I97-#REF!)</f>
        <v>#REF!</v>
      </c>
      <c r="M97" s="113"/>
      <c r="N97" s="207">
        <v>0</v>
      </c>
      <c r="O97" s="207">
        <v>0</v>
      </c>
      <c r="P97" s="208">
        <v>0</v>
      </c>
      <c r="Q97" s="199">
        <f t="shared" si="46"/>
        <v>0</v>
      </c>
      <c r="R97" s="39">
        <f t="shared" si="47"/>
        <v>0</v>
      </c>
      <c r="T97" s="224"/>
      <c r="U97" s="224"/>
      <c r="V97" s="224"/>
    </row>
    <row r="98" spans="1:22" ht="23.4" customHeight="1" x14ac:dyDescent="0.35">
      <c r="A98" s="1"/>
      <c r="B98" s="64"/>
      <c r="C98" s="18"/>
      <c r="D98" s="25" t="s">
        <v>385</v>
      </c>
      <c r="E98" s="23"/>
      <c r="F98" s="26"/>
      <c r="G98" s="23"/>
      <c r="H98" s="29"/>
      <c r="I98" s="27">
        <f>SUM(I90:I97)</f>
        <v>1814200</v>
      </c>
      <c r="J98" s="177">
        <f t="shared" si="44"/>
        <v>55000</v>
      </c>
      <c r="K98" s="178">
        <f t="shared" si="45"/>
        <v>1759200</v>
      </c>
      <c r="L98" s="88" t="e">
        <f>IF(#REF!="","",I98-#REF!)</f>
        <v>#REF!</v>
      </c>
      <c r="M98" s="115"/>
      <c r="N98" s="209"/>
      <c r="O98" s="209"/>
      <c r="P98" s="210"/>
      <c r="Q98" s="200">
        <f>Q90+Q91+Q92+Q93+Q94+Q95+Q96+Q97</f>
        <v>55000</v>
      </c>
      <c r="R98" s="56">
        <f t="shared" si="47"/>
        <v>3.0316392900451988E-2</v>
      </c>
      <c r="T98" s="224"/>
      <c r="U98" s="224"/>
      <c r="V98" s="224"/>
    </row>
    <row r="99" spans="1:22" ht="23.4" customHeight="1" x14ac:dyDescent="0.35">
      <c r="A99" s="19"/>
      <c r="B99" s="64" t="s">
        <v>368</v>
      </c>
      <c r="C99" s="6"/>
      <c r="D99" s="7" t="s">
        <v>103</v>
      </c>
      <c r="E99" s="5"/>
      <c r="F99" s="20"/>
      <c r="G99" s="5"/>
      <c r="H99" s="21"/>
      <c r="I99" s="31"/>
      <c r="J99" s="192"/>
      <c r="K99" s="193"/>
      <c r="L99" s="87" t="e">
        <f>IF(#REF!="","",I99-#REF!)</f>
        <v>#REF!</v>
      </c>
      <c r="M99" s="113"/>
      <c r="N99" s="207"/>
      <c r="O99" s="207"/>
      <c r="P99" s="208"/>
      <c r="Q99" s="199"/>
      <c r="R99" s="39"/>
      <c r="T99" s="224"/>
      <c r="U99" s="224"/>
      <c r="V99" s="224"/>
    </row>
    <row r="100" spans="1:22" ht="23.4" customHeight="1" x14ac:dyDescent="0.35">
      <c r="A100" s="4"/>
      <c r="B100" s="231" t="s">
        <v>369</v>
      </c>
      <c r="C100" s="11" t="s">
        <v>84</v>
      </c>
      <c r="D100" s="13" t="s">
        <v>104</v>
      </c>
      <c r="E100" s="8" t="s">
        <v>105</v>
      </c>
      <c r="F100" s="9">
        <v>60</v>
      </c>
      <c r="G100" s="8">
        <v>20000</v>
      </c>
      <c r="H100" s="10">
        <v>0.6</v>
      </c>
      <c r="I100" s="30">
        <f>F100*G100*H100</f>
        <v>720000</v>
      </c>
      <c r="J100" s="192">
        <f t="shared" ref="J100:J105" si="48">Q100</f>
        <v>0</v>
      </c>
      <c r="K100" s="193">
        <f t="shared" ref="K100:K105" si="49">I100-J100</f>
        <v>720000</v>
      </c>
      <c r="L100" s="87" t="e">
        <f>IF(#REF!="","",I100-#REF!)</f>
        <v>#REF!</v>
      </c>
      <c r="M100" s="113"/>
      <c r="N100" s="207"/>
      <c r="O100" s="207">
        <v>0</v>
      </c>
      <c r="P100" s="208">
        <v>0</v>
      </c>
      <c r="Q100" s="199">
        <f>SUM(N100:P100)</f>
        <v>0</v>
      </c>
      <c r="R100" s="39">
        <f t="shared" ref="R100:R105" si="50">Q100/I100</f>
        <v>0</v>
      </c>
      <c r="T100" s="224"/>
      <c r="U100" s="224"/>
      <c r="V100" s="224"/>
    </row>
    <row r="101" spans="1:22" ht="23.4" customHeight="1" x14ac:dyDescent="0.35">
      <c r="A101" s="4"/>
      <c r="B101" s="231" t="s">
        <v>370</v>
      </c>
      <c r="C101" s="11" t="s">
        <v>84</v>
      </c>
      <c r="D101" s="13" t="s">
        <v>106</v>
      </c>
      <c r="E101" s="8" t="s">
        <v>105</v>
      </c>
      <c r="F101" s="9">
        <v>150</v>
      </c>
      <c r="G101" s="8">
        <v>10000</v>
      </c>
      <c r="H101" s="10">
        <v>0.6</v>
      </c>
      <c r="I101" s="30">
        <f>F101*G101*H101</f>
        <v>900000</v>
      </c>
      <c r="J101" s="192">
        <f t="shared" si="48"/>
        <v>0</v>
      </c>
      <c r="K101" s="193">
        <f t="shared" si="49"/>
        <v>900000</v>
      </c>
      <c r="L101" s="87" t="e">
        <f>IF(#REF!="","",I101-#REF!)</f>
        <v>#REF!</v>
      </c>
      <c r="M101" s="113"/>
      <c r="N101" s="207"/>
      <c r="O101" s="207">
        <v>0</v>
      </c>
      <c r="P101" s="208">
        <v>0</v>
      </c>
      <c r="Q101" s="199">
        <f t="shared" ref="Q101:Q104" si="51">SUM(N101:P101)</f>
        <v>0</v>
      </c>
      <c r="R101" s="39">
        <f t="shared" si="50"/>
        <v>0</v>
      </c>
      <c r="T101" s="224"/>
      <c r="U101" s="224"/>
      <c r="V101" s="224"/>
    </row>
    <row r="102" spans="1:22" ht="23.4" customHeight="1" x14ac:dyDescent="0.35">
      <c r="A102" s="4"/>
      <c r="B102" s="231" t="s">
        <v>371</v>
      </c>
      <c r="C102" s="11" t="s">
        <v>84</v>
      </c>
      <c r="D102" s="13" t="s">
        <v>107</v>
      </c>
      <c r="E102" s="8" t="s">
        <v>105</v>
      </c>
      <c r="F102" s="9">
        <v>230</v>
      </c>
      <c r="G102" s="8">
        <v>5000</v>
      </c>
      <c r="H102" s="10">
        <v>0.6</v>
      </c>
      <c r="I102" s="30">
        <f>F102*G102*H102</f>
        <v>690000</v>
      </c>
      <c r="J102" s="192">
        <f t="shared" si="48"/>
        <v>7200</v>
      </c>
      <c r="K102" s="193">
        <f t="shared" si="49"/>
        <v>682800</v>
      </c>
      <c r="L102" s="87" t="e">
        <f>IF(#REF!="","",I102-#REF!)</f>
        <v>#REF!</v>
      </c>
      <c r="M102" s="222" t="s">
        <v>279</v>
      </c>
      <c r="N102" s="207"/>
      <c r="O102" s="207">
        <v>0</v>
      </c>
      <c r="P102" s="208">
        <f>20*200*1.8</f>
        <v>7200</v>
      </c>
      <c r="Q102" s="199">
        <f t="shared" si="51"/>
        <v>7200</v>
      </c>
      <c r="R102" s="39">
        <f t="shared" si="50"/>
        <v>1.0434782608695653E-2</v>
      </c>
      <c r="T102" s="224"/>
      <c r="U102" s="224"/>
      <c r="V102" s="224"/>
    </row>
    <row r="103" spans="1:22" ht="23.4" customHeight="1" x14ac:dyDescent="0.35">
      <c r="A103" s="4"/>
      <c r="B103" s="231" t="s">
        <v>372</v>
      </c>
      <c r="C103" s="11" t="s">
        <v>84</v>
      </c>
      <c r="D103" s="13" t="s">
        <v>108</v>
      </c>
      <c r="E103" s="8" t="s">
        <v>105</v>
      </c>
      <c r="F103" s="9">
        <v>260</v>
      </c>
      <c r="G103" s="8">
        <v>10000</v>
      </c>
      <c r="H103" s="10">
        <v>0.6</v>
      </c>
      <c r="I103" s="30">
        <f>F103*G103*H103</f>
        <v>1560000</v>
      </c>
      <c r="J103" s="192">
        <f t="shared" si="48"/>
        <v>0</v>
      </c>
      <c r="K103" s="193">
        <f t="shared" si="49"/>
        <v>1560000</v>
      </c>
      <c r="L103" s="87" t="e">
        <f>IF(#REF!="","",I103-#REF!)</f>
        <v>#REF!</v>
      </c>
      <c r="M103" s="113"/>
      <c r="N103" s="207"/>
      <c r="O103" s="207">
        <v>0</v>
      </c>
      <c r="P103" s="208">
        <v>0</v>
      </c>
      <c r="Q103" s="199">
        <f t="shared" si="51"/>
        <v>0</v>
      </c>
      <c r="R103" s="39">
        <f t="shared" si="50"/>
        <v>0</v>
      </c>
      <c r="T103" s="224"/>
      <c r="U103" s="224"/>
      <c r="V103" s="224"/>
    </row>
    <row r="104" spans="1:22" ht="23.4" customHeight="1" x14ac:dyDescent="0.35">
      <c r="A104" s="4"/>
      <c r="B104" s="231" t="s">
        <v>373</v>
      </c>
      <c r="C104" s="11" t="s">
        <v>84</v>
      </c>
      <c r="D104" s="13" t="s">
        <v>109</v>
      </c>
      <c r="E104" s="8" t="s">
        <v>105</v>
      </c>
      <c r="F104" s="9">
        <v>30</v>
      </c>
      <c r="G104" s="8">
        <v>10000</v>
      </c>
      <c r="H104" s="10">
        <v>0.6</v>
      </c>
      <c r="I104" s="30">
        <f>F104*G104*H104</f>
        <v>180000</v>
      </c>
      <c r="J104" s="192">
        <f t="shared" si="48"/>
        <v>0</v>
      </c>
      <c r="K104" s="193">
        <f t="shared" si="49"/>
        <v>180000</v>
      </c>
      <c r="L104" s="87" t="e">
        <f>IF(#REF!="","",I104-#REF!)</f>
        <v>#REF!</v>
      </c>
      <c r="M104" s="113"/>
      <c r="N104" s="207"/>
      <c r="O104" s="207">
        <v>0</v>
      </c>
      <c r="P104" s="208">
        <v>0</v>
      </c>
      <c r="Q104" s="199">
        <f t="shared" si="51"/>
        <v>0</v>
      </c>
      <c r="R104" s="39">
        <f t="shared" si="50"/>
        <v>0</v>
      </c>
      <c r="T104" s="224"/>
      <c r="U104" s="224"/>
      <c r="V104" s="224"/>
    </row>
    <row r="105" spans="1:22" ht="23.4" customHeight="1" x14ac:dyDescent="0.35">
      <c r="A105" s="1"/>
      <c r="B105" s="64"/>
      <c r="C105" s="18"/>
      <c r="D105" s="25" t="s">
        <v>384</v>
      </c>
      <c r="E105" s="23"/>
      <c r="F105" s="26"/>
      <c r="G105" s="23"/>
      <c r="H105" s="29"/>
      <c r="I105" s="27">
        <f>SUM(I100:I104)</f>
        <v>4050000</v>
      </c>
      <c r="J105" s="177">
        <f t="shared" si="48"/>
        <v>7200</v>
      </c>
      <c r="K105" s="178">
        <f t="shared" si="49"/>
        <v>4042800</v>
      </c>
      <c r="L105" s="88" t="e">
        <f>IF(#REF!="","",I105-#REF!)</f>
        <v>#REF!</v>
      </c>
      <c r="M105" s="115"/>
      <c r="N105" s="209"/>
      <c r="O105" s="209"/>
      <c r="P105" s="210"/>
      <c r="Q105" s="200">
        <f>Q100+Q101+Q102+Q103+Q104</f>
        <v>7200</v>
      </c>
      <c r="R105" s="56">
        <f t="shared" si="50"/>
        <v>1.7777777777777779E-3</v>
      </c>
      <c r="T105" s="224"/>
      <c r="U105" s="224"/>
      <c r="V105" s="224"/>
    </row>
    <row r="106" spans="1:22" ht="23.4" customHeight="1" x14ac:dyDescent="0.35">
      <c r="A106" s="19"/>
      <c r="B106" s="64" t="s">
        <v>374</v>
      </c>
      <c r="C106" s="6"/>
      <c r="D106" s="7" t="s">
        <v>110</v>
      </c>
      <c r="E106" s="5"/>
      <c r="F106" s="20"/>
      <c r="G106" s="5"/>
      <c r="H106" s="21"/>
      <c r="I106" s="31"/>
      <c r="J106" s="192"/>
      <c r="K106" s="193"/>
      <c r="L106" s="87" t="e">
        <f>IF(#REF!="","",I106-#REF!)</f>
        <v>#REF!</v>
      </c>
      <c r="M106" s="113"/>
      <c r="N106" s="207"/>
      <c r="O106" s="207"/>
      <c r="P106" s="208"/>
      <c r="Q106" s="199"/>
      <c r="R106" s="39"/>
      <c r="T106" s="224"/>
      <c r="U106" s="224"/>
      <c r="V106" s="224"/>
    </row>
    <row r="107" spans="1:22" ht="23.4" customHeight="1" x14ac:dyDescent="0.35">
      <c r="A107" s="19"/>
      <c r="B107" s="231" t="s">
        <v>375</v>
      </c>
      <c r="C107" s="11" t="s">
        <v>84</v>
      </c>
      <c r="D107" s="13" t="s">
        <v>111</v>
      </c>
      <c r="E107" s="8" t="s">
        <v>32</v>
      </c>
      <c r="F107" s="9">
        <v>250000</v>
      </c>
      <c r="G107" s="8">
        <v>1</v>
      </c>
      <c r="H107" s="10">
        <v>0.6</v>
      </c>
      <c r="I107" s="30">
        <f>F107*G107*H107</f>
        <v>150000</v>
      </c>
      <c r="J107" s="192">
        <f t="shared" ref="J107:J111" si="52">Q107</f>
        <v>0</v>
      </c>
      <c r="K107" s="193">
        <f>I107-J107</f>
        <v>150000</v>
      </c>
      <c r="L107" s="87" t="e">
        <f>IF(#REF!="","",I107-#REF!)</f>
        <v>#REF!</v>
      </c>
      <c r="M107" s="113"/>
      <c r="N107" s="207"/>
      <c r="O107" s="207">
        <v>0</v>
      </c>
      <c r="P107" s="208">
        <v>0</v>
      </c>
      <c r="Q107" s="199">
        <f>SUM(N107:P107)</f>
        <v>0</v>
      </c>
      <c r="R107" s="39">
        <f>Q107/I107</f>
        <v>0</v>
      </c>
      <c r="T107" s="224"/>
      <c r="U107" s="224"/>
      <c r="V107" s="224"/>
    </row>
    <row r="108" spans="1:22" s="43" customFormat="1" ht="23.4" customHeight="1" x14ac:dyDescent="0.35">
      <c r="A108" s="19"/>
      <c r="B108" s="231" t="s">
        <v>376</v>
      </c>
      <c r="C108" s="11" t="s">
        <v>84</v>
      </c>
      <c r="D108" s="13" t="s">
        <v>112</v>
      </c>
      <c r="E108" s="8" t="s">
        <v>32</v>
      </c>
      <c r="F108" s="9">
        <v>250000</v>
      </c>
      <c r="G108" s="8">
        <v>1</v>
      </c>
      <c r="H108" s="10">
        <v>0.6</v>
      </c>
      <c r="I108" s="30">
        <f>F108*G108*H108</f>
        <v>150000</v>
      </c>
      <c r="J108" s="194">
        <f t="shared" si="52"/>
        <v>24353.240152477763</v>
      </c>
      <c r="K108" s="195">
        <f>I108-J108</f>
        <v>125646.75984752223</v>
      </c>
      <c r="L108" s="90" t="e">
        <f>IF(#REF!="","",I108-#REF!)</f>
        <v>#REF!</v>
      </c>
      <c r="M108" s="119" t="s">
        <v>392</v>
      </c>
      <c r="N108" s="215"/>
      <c r="O108" s="215">
        <f>I108/23.61</f>
        <v>6353.2401524777642</v>
      </c>
      <c r="P108" s="251">
        <f>P3*I108/25</f>
        <v>18000</v>
      </c>
      <c r="Q108" s="252">
        <f>SUM(N108:P108)</f>
        <v>24353.240152477763</v>
      </c>
      <c r="R108" s="45">
        <f>Q108/I108</f>
        <v>0.16235493434985176</v>
      </c>
      <c r="T108" s="225"/>
      <c r="U108" s="225"/>
      <c r="V108" s="225"/>
    </row>
    <row r="109" spans="1:22" ht="23.4" customHeight="1" x14ac:dyDescent="0.35">
      <c r="A109" s="1"/>
      <c r="B109" s="64"/>
      <c r="C109" s="18"/>
      <c r="D109" s="25" t="s">
        <v>381</v>
      </c>
      <c r="E109" s="23"/>
      <c r="F109" s="26"/>
      <c r="G109" s="23"/>
      <c r="H109" s="29"/>
      <c r="I109" s="27">
        <f>SUM(I107:I108)</f>
        <v>300000</v>
      </c>
      <c r="J109" s="177">
        <f t="shared" si="52"/>
        <v>24353.240152477763</v>
      </c>
      <c r="K109" s="178">
        <f>I109-J109</f>
        <v>275646.75984752225</v>
      </c>
      <c r="L109" s="88" t="e">
        <f>IF(#REF!="","",I109-#REF!)</f>
        <v>#REF!</v>
      </c>
      <c r="M109" s="115"/>
      <c r="N109" s="209"/>
      <c r="O109" s="209"/>
      <c r="P109" s="210"/>
      <c r="Q109" s="200">
        <f>Q107+Q108</f>
        <v>24353.240152477763</v>
      </c>
      <c r="R109" s="56">
        <f>Q109/I109</f>
        <v>8.1177467174925882E-2</v>
      </c>
      <c r="T109" s="224"/>
      <c r="U109" s="224"/>
      <c r="V109" s="224"/>
    </row>
    <row r="110" spans="1:22" ht="23.4" customHeight="1" x14ac:dyDescent="0.35">
      <c r="A110" s="19"/>
      <c r="B110" s="64" t="s">
        <v>377</v>
      </c>
      <c r="C110" s="6"/>
      <c r="D110" s="7" t="s">
        <v>125</v>
      </c>
      <c r="E110" s="5" t="s">
        <v>113</v>
      </c>
      <c r="F110" s="20">
        <v>75000</v>
      </c>
      <c r="G110" s="5">
        <v>1</v>
      </c>
      <c r="H110" s="21">
        <v>4</v>
      </c>
      <c r="I110" s="31">
        <f>F110*G110*H110</f>
        <v>300000</v>
      </c>
      <c r="J110" s="192">
        <f t="shared" si="52"/>
        <v>0</v>
      </c>
      <c r="K110" s="193">
        <f>I110-J110</f>
        <v>300000</v>
      </c>
      <c r="L110" s="87" t="e">
        <f>IF(#REF!="","",I110-#REF!)</f>
        <v>#REF!</v>
      </c>
      <c r="M110" s="113"/>
      <c r="N110" s="207"/>
      <c r="O110" s="207">
        <v>0</v>
      </c>
      <c r="P110" s="208">
        <v>0</v>
      </c>
      <c r="Q110" s="199">
        <f>SUM(N110:P110)</f>
        <v>0</v>
      </c>
      <c r="R110" s="39">
        <f>Q110/I110</f>
        <v>0</v>
      </c>
      <c r="T110" s="224"/>
      <c r="U110" s="224"/>
      <c r="V110" s="224"/>
    </row>
    <row r="111" spans="1:22" ht="23.4" customHeight="1" x14ac:dyDescent="0.35">
      <c r="A111" s="1"/>
      <c r="B111" s="64"/>
      <c r="C111" s="18"/>
      <c r="D111" s="25" t="s">
        <v>382</v>
      </c>
      <c r="E111" s="23"/>
      <c r="F111" s="26"/>
      <c r="G111" s="23"/>
      <c r="H111" s="29"/>
      <c r="I111" s="27">
        <f>SUM(I110)</f>
        <v>300000</v>
      </c>
      <c r="J111" s="177">
        <f t="shared" si="52"/>
        <v>0</v>
      </c>
      <c r="K111" s="178">
        <f>I111-J111</f>
        <v>300000</v>
      </c>
      <c r="L111" s="88" t="e">
        <f>IF(#REF!="","",I111-#REF!)</f>
        <v>#REF!</v>
      </c>
      <c r="M111" s="115"/>
      <c r="N111" s="209"/>
      <c r="O111" s="209"/>
      <c r="P111" s="210"/>
      <c r="Q111" s="200">
        <f>Q110</f>
        <v>0</v>
      </c>
      <c r="R111" s="56">
        <f>Q111/I111</f>
        <v>0</v>
      </c>
      <c r="T111" s="224"/>
      <c r="U111" s="224"/>
      <c r="V111" s="224"/>
    </row>
    <row r="112" spans="1:22" ht="23.4" customHeight="1" x14ac:dyDescent="0.35">
      <c r="A112" s="19"/>
      <c r="B112" s="64" t="s">
        <v>378</v>
      </c>
      <c r="C112" s="6"/>
      <c r="D112" s="7" t="s">
        <v>114</v>
      </c>
      <c r="E112" s="5"/>
      <c r="F112" s="20"/>
      <c r="G112" s="5"/>
      <c r="H112" s="21"/>
      <c r="I112" s="31"/>
      <c r="J112" s="186"/>
      <c r="K112" s="187"/>
      <c r="L112" s="87" t="e">
        <f>IF(#REF!="","",I112-#REF!)</f>
        <v>#REF!</v>
      </c>
      <c r="M112" s="113"/>
      <c r="N112" s="207"/>
      <c r="O112" s="207"/>
      <c r="P112" s="208"/>
      <c r="Q112" s="199"/>
      <c r="R112" s="39"/>
      <c r="T112" s="224"/>
      <c r="U112" s="224"/>
      <c r="V112" s="224"/>
    </row>
    <row r="113" spans="1:22" s="43" customFormat="1" ht="23.4" customHeight="1" x14ac:dyDescent="0.35">
      <c r="A113" s="19"/>
      <c r="B113" s="231" t="s">
        <v>379</v>
      </c>
      <c r="C113" s="11" t="s">
        <v>84</v>
      </c>
      <c r="D113" s="13" t="s">
        <v>115</v>
      </c>
      <c r="E113" s="8" t="s">
        <v>32</v>
      </c>
      <c r="F113" s="9">
        <v>80000</v>
      </c>
      <c r="G113" s="8">
        <v>1</v>
      </c>
      <c r="H113" s="10">
        <v>1</v>
      </c>
      <c r="I113" s="30">
        <f>F113*G113*H113</f>
        <v>80000</v>
      </c>
      <c r="J113" s="194">
        <f>Q113</f>
        <v>20000</v>
      </c>
      <c r="K113" s="195">
        <f>I113-J113</f>
        <v>60000</v>
      </c>
      <c r="L113" s="90" t="e">
        <f>IF(#REF!="","",I113-#REF!)</f>
        <v>#REF!</v>
      </c>
      <c r="M113" s="119" t="s">
        <v>397</v>
      </c>
      <c r="N113" s="215"/>
      <c r="O113" s="215">
        <v>0</v>
      </c>
      <c r="P113" s="251">
        <v>20000</v>
      </c>
      <c r="Q113" s="252">
        <f>SUM(N113:P113)</f>
        <v>20000</v>
      </c>
      <c r="R113" s="45">
        <f>Q113/I113</f>
        <v>0.25</v>
      </c>
      <c r="T113" s="225"/>
      <c r="U113" s="225"/>
      <c r="V113" s="225"/>
    </row>
    <row r="114" spans="1:22" ht="23.4" customHeight="1" x14ac:dyDescent="0.35">
      <c r="A114" s="19"/>
      <c r="B114" s="231" t="s">
        <v>380</v>
      </c>
      <c r="C114" s="11" t="s">
        <v>84</v>
      </c>
      <c r="D114" s="13" t="s">
        <v>116</v>
      </c>
      <c r="E114" s="8" t="s">
        <v>32</v>
      </c>
      <c r="F114" s="9">
        <v>700000</v>
      </c>
      <c r="G114" s="8">
        <v>1</v>
      </c>
      <c r="H114" s="10">
        <v>0.6</v>
      </c>
      <c r="I114" s="30">
        <f>F114*G114*H114</f>
        <v>420000</v>
      </c>
      <c r="J114" s="192">
        <f>Q114</f>
        <v>0</v>
      </c>
      <c r="K114" s="193">
        <f>I114-J114</f>
        <v>420000</v>
      </c>
      <c r="L114" s="87" t="e">
        <f>IF(#REF!="","",I114-#REF!)</f>
        <v>#REF!</v>
      </c>
      <c r="M114" s="113"/>
      <c r="N114" s="207"/>
      <c r="O114" s="207">
        <v>0</v>
      </c>
      <c r="P114" s="208">
        <v>0</v>
      </c>
      <c r="Q114" s="199">
        <f>SUM(N114:P114)</f>
        <v>0</v>
      </c>
      <c r="R114" s="39">
        <f>Q114/I114</f>
        <v>0</v>
      </c>
      <c r="T114" s="224"/>
      <c r="U114" s="224"/>
      <c r="V114" s="224"/>
    </row>
    <row r="115" spans="1:22" ht="23.4" customHeight="1" x14ac:dyDescent="0.35">
      <c r="A115" s="1"/>
      <c r="B115" s="64"/>
      <c r="C115" s="18"/>
      <c r="D115" s="25" t="s">
        <v>383</v>
      </c>
      <c r="E115" s="23"/>
      <c r="F115" s="26"/>
      <c r="G115" s="23"/>
      <c r="H115" s="29"/>
      <c r="I115" s="27">
        <f>SUM(I113:I114)</f>
        <v>500000</v>
      </c>
      <c r="J115" s="177">
        <f>Q115</f>
        <v>20000</v>
      </c>
      <c r="K115" s="178">
        <f>I115-J115</f>
        <v>480000</v>
      </c>
      <c r="L115" s="88" t="e">
        <f>IF(#REF!="","",I115-#REF!)</f>
        <v>#REF!</v>
      </c>
      <c r="M115" s="115"/>
      <c r="N115" s="209"/>
      <c r="O115" s="209"/>
      <c r="P115" s="210"/>
      <c r="Q115" s="200">
        <f>Q113+Q114</f>
        <v>20000</v>
      </c>
      <c r="R115" s="56">
        <f>Q115/I115</f>
        <v>0.04</v>
      </c>
      <c r="T115" s="224"/>
      <c r="U115" s="224"/>
      <c r="V115" s="224"/>
    </row>
    <row r="116" spans="1:22" ht="23.4" customHeight="1" x14ac:dyDescent="0.35">
      <c r="A116" s="22"/>
      <c r="B116" s="64"/>
      <c r="C116" s="24"/>
      <c r="D116" s="57" t="s">
        <v>117</v>
      </c>
      <c r="E116" s="58"/>
      <c r="F116" s="59"/>
      <c r="G116" s="58"/>
      <c r="H116" s="60"/>
      <c r="I116" s="61">
        <f>I61+I73+I83+I88+I98+I105+I109+I111+I115</f>
        <v>11642588</v>
      </c>
      <c r="J116" s="184">
        <f>Q116</f>
        <v>434844.90681914444</v>
      </c>
      <c r="K116" s="185">
        <f>I116-J116</f>
        <v>11207743.093180856</v>
      </c>
      <c r="L116" s="89" t="e">
        <f>IF(#REF!="","",I116-#REF!)</f>
        <v>#REF!</v>
      </c>
      <c r="M116" s="118"/>
      <c r="N116" s="213"/>
      <c r="O116" s="213"/>
      <c r="P116" s="214"/>
      <c r="Q116" s="204">
        <f>Q61+Q73+Q83+Q88+Q98+Q105+Q109+Q111+Q115</f>
        <v>434844.90681914444</v>
      </c>
      <c r="R116" s="72">
        <f>Q116/I116</f>
        <v>3.7349505695739166E-2</v>
      </c>
      <c r="T116" s="224"/>
      <c r="U116" s="224"/>
      <c r="V116" s="224"/>
    </row>
    <row r="117" spans="1:22" ht="23.4" customHeight="1" thickBot="1" x14ac:dyDescent="0.4">
      <c r="A117" s="1" t="s">
        <v>118</v>
      </c>
      <c r="B117" s="64"/>
      <c r="C117" s="18"/>
      <c r="D117" s="57" t="s">
        <v>423</v>
      </c>
      <c r="E117" s="58"/>
      <c r="F117" s="59"/>
      <c r="G117" s="58"/>
      <c r="H117" s="60"/>
      <c r="I117" s="61">
        <f>I116+I24+I26+I38+I50</f>
        <v>14448888</v>
      </c>
      <c r="J117" s="61">
        <f t="shared" ref="J117:K117" si="53">J116+J24+J26+J38+J50</f>
        <v>1150344.9068191445</v>
      </c>
      <c r="K117" s="61">
        <f t="shared" si="53"/>
        <v>13298543.093180856</v>
      </c>
      <c r="L117" s="89" t="e">
        <f>IF(#REF!="","",I117-#REF!)</f>
        <v>#REF!</v>
      </c>
      <c r="M117" s="118"/>
      <c r="N117" s="213"/>
      <c r="O117" s="213"/>
      <c r="P117" s="214"/>
      <c r="Q117" s="204">
        <f>Q116+Q24+Q26+Q38+Q50+Q6</f>
        <v>1641299.2401524778</v>
      </c>
      <c r="R117" s="72">
        <f>Q117/I117</f>
        <v>0.11359346408889583</v>
      </c>
      <c r="T117" s="224"/>
      <c r="U117" s="224"/>
      <c r="V117" s="224"/>
    </row>
    <row r="118" spans="1:22" ht="23.4" customHeight="1" x14ac:dyDescent="0.35">
      <c r="A118" s="283" t="s">
        <v>119</v>
      </c>
      <c r="B118" s="285"/>
      <c r="C118" s="84"/>
      <c r="D118" s="287" t="s">
        <v>424</v>
      </c>
      <c r="E118" s="73"/>
      <c r="F118" s="74"/>
      <c r="G118" s="75"/>
      <c r="H118" s="76"/>
      <c r="I118" s="77">
        <f>I117+I5</f>
        <v>16973797</v>
      </c>
      <c r="J118" s="77">
        <f t="shared" ref="J118:K118" si="54">J117+J5</f>
        <v>1641299.2401524778</v>
      </c>
      <c r="K118" s="77">
        <f t="shared" si="54"/>
        <v>15332497.759847522</v>
      </c>
      <c r="L118" s="121" t="e">
        <f>IF(#REF!="","",I118-#REF!)</f>
        <v>#REF!</v>
      </c>
      <c r="M118" s="264" t="s">
        <v>393</v>
      </c>
      <c r="N118" s="255">
        <f>SUM(N5:N117)</f>
        <v>7800</v>
      </c>
      <c r="O118" s="216">
        <f>SUM(O5:O117)</f>
        <v>796148.57348581101</v>
      </c>
      <c r="P118" s="258">
        <f>SUM(P5:P117)</f>
        <v>837350.66666666674</v>
      </c>
      <c r="Q118" s="205">
        <f>Q117</f>
        <v>1641299.2401524778</v>
      </c>
      <c r="R118" s="78">
        <f>R117</f>
        <v>0.11359346408889583</v>
      </c>
      <c r="T118" s="224"/>
      <c r="U118" s="224"/>
      <c r="V118" s="224"/>
    </row>
    <row r="119" spans="1:22" ht="23.4" customHeight="1" thickBot="1" x14ac:dyDescent="0.4">
      <c r="A119" s="284"/>
      <c r="B119" s="286"/>
      <c r="C119" s="85"/>
      <c r="D119" s="288"/>
      <c r="E119" s="79"/>
      <c r="F119" s="80"/>
      <c r="G119" s="81"/>
      <c r="H119" s="82"/>
      <c r="I119" s="196"/>
      <c r="J119" s="197"/>
      <c r="K119" s="198"/>
      <c r="L119" s="122"/>
      <c r="M119" s="265" t="s">
        <v>394</v>
      </c>
      <c r="N119" s="263">
        <f>N118</f>
        <v>7800</v>
      </c>
      <c r="O119" s="217">
        <f>N119+O118</f>
        <v>803948.57348581101</v>
      </c>
      <c r="P119" s="218">
        <f>O119+P118</f>
        <v>1641299.2401524778</v>
      </c>
      <c r="Q119" s="206"/>
      <c r="R119" s="83"/>
      <c r="T119" s="224"/>
      <c r="U119" s="224"/>
      <c r="V119" s="224"/>
    </row>
    <row r="120" spans="1:22" ht="24" customHeight="1" x14ac:dyDescent="0.35"/>
    <row r="121" spans="1:22" ht="28.25" customHeight="1" x14ac:dyDescent="0.35"/>
    <row r="122" spans="1:22" ht="28.25" customHeight="1" x14ac:dyDescent="0.35">
      <c r="D122" s="44"/>
      <c r="N122" s="92"/>
    </row>
    <row r="124" spans="1:22" s="43" customFormat="1" x14ac:dyDescent="0.35">
      <c r="J124" s="92"/>
      <c r="K124" s="92"/>
      <c r="L124" s="92"/>
      <c r="M124" s="123"/>
      <c r="N124" s="92"/>
      <c r="O124" s="92"/>
      <c r="P124" s="92"/>
      <c r="Q124" s="127"/>
      <c r="R124" s="41"/>
    </row>
  </sheetData>
  <mergeCells count="7">
    <mergeCell ref="M2:M3"/>
    <mergeCell ref="A2:D3"/>
    <mergeCell ref="M9:M14"/>
    <mergeCell ref="M21:M22"/>
    <mergeCell ref="A118:A119"/>
    <mergeCell ref="B118:B119"/>
    <mergeCell ref="D118:D119"/>
  </mergeCells>
  <conditionalFormatting sqref="L4 L7:L55 L57:L119">
    <cfRule type="cellIs" dxfId="36" priority="9" operator="lessThan">
      <formula>0</formula>
    </cfRule>
    <cfRule type="cellIs" dxfId="35" priority="10" operator="greaterThan">
      <formula>0</formula>
    </cfRule>
    <cfRule type="cellIs" dxfId="34" priority="11" operator="equal">
      <formula>0</formula>
    </cfRule>
  </conditionalFormatting>
  <conditionalFormatting sqref="Q118">
    <cfRule type="expression" dxfId="33" priority="8">
      <formula>$F118&lt;&gt;#REF!</formula>
    </cfRule>
  </conditionalFormatting>
  <conditionalFormatting sqref="R118">
    <cfRule type="expression" dxfId="32" priority="7">
      <formula>$H118&lt;&gt;#REF!</formula>
    </cfRule>
  </conditionalFormatting>
  <conditionalFormatting sqref="L5:L6">
    <cfRule type="cellIs" dxfId="31" priority="4" operator="lessThan">
      <formula>0</formula>
    </cfRule>
    <cfRule type="cellIs" dxfId="30" priority="5" operator="greaterThan">
      <formula>0</formula>
    </cfRule>
    <cfRule type="cellIs" dxfId="29" priority="6" operator="equal">
      <formula>0</formula>
    </cfRule>
  </conditionalFormatting>
  <conditionalFormatting sqref="L56">
    <cfRule type="cellIs" dxfId="28" priority="1" operator="lessThan">
      <formula>0</formula>
    </cfRule>
    <cfRule type="cellIs" dxfId="27" priority="2" operator="greaterThan">
      <formula>0</formula>
    </cfRule>
    <cfRule type="cellIs" dxfId="26" priority="3" operator="equal">
      <formula>0</formula>
    </cfRule>
  </conditionalFormatting>
  <printOptions horizontalCentered="1" verticalCentered="1"/>
  <pageMargins left="0.31496062992125984" right="0.31496062992125984" top="0.15748031496062992" bottom="0.15748031496062992" header="0.19685039370078741" footer="0.11811023622047245"/>
  <pageSetup paperSize="8" scale="85" fitToHeight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topLeftCell="A18" zoomScale="80" zoomScaleNormal="80" workbookViewId="0">
      <selection sqref="A1:E6"/>
    </sheetView>
  </sheetViews>
  <sheetFormatPr baseColWidth="10" defaultColWidth="11.54296875" defaultRowHeight="13" x14ac:dyDescent="0.35"/>
  <cols>
    <col min="1" max="1" width="39.6328125" style="141" customWidth="1"/>
    <col min="2" max="5" width="17" style="141" customWidth="1"/>
    <col min="6" max="6" width="4.08984375" style="141" customWidth="1"/>
    <col min="7" max="7" width="44.54296875" style="145" customWidth="1"/>
    <col min="8" max="11" width="18.453125" style="141" customWidth="1"/>
    <col min="12" max="16384" width="11.54296875" style="141"/>
  </cols>
  <sheetData>
    <row r="1" spans="1:11" s="137" customFormat="1" ht="46.25" customHeight="1" x14ac:dyDescent="0.35">
      <c r="A1" s="152" t="s">
        <v>261</v>
      </c>
      <c r="B1" s="147" t="s">
        <v>129</v>
      </c>
      <c r="C1" s="153" t="s">
        <v>128</v>
      </c>
      <c r="D1" s="147" t="s">
        <v>262</v>
      </c>
      <c r="E1" s="154" t="s">
        <v>263</v>
      </c>
      <c r="G1" s="152" t="s">
        <v>126</v>
      </c>
      <c r="H1" s="147" t="s">
        <v>264</v>
      </c>
      <c r="I1" s="147" t="s">
        <v>265</v>
      </c>
      <c r="J1" s="147" t="s">
        <v>266</v>
      </c>
      <c r="K1" s="148" t="s">
        <v>267</v>
      </c>
    </row>
    <row r="2" spans="1:11" ht="26.4" customHeight="1" x14ac:dyDescent="0.35">
      <c r="A2" s="138" t="str">
        <f>'PTBA ALE'!D7</f>
        <v xml:space="preserve">Ressources humaines </v>
      </c>
      <c r="B2" s="139">
        <f>'PTBA ALE'!I24</f>
        <v>1085000</v>
      </c>
      <c r="C2" s="140">
        <f>Tableau1[[#This Row],[Répartition Montant Délégué Global]]/$B$6</f>
        <v>7.5092283918319527E-2</v>
      </c>
      <c r="D2" s="139">
        <f>'PTBA ALE'!Q24</f>
        <v>89400</v>
      </c>
      <c r="E2" s="140">
        <f>Tableau1[[#This Row],[Répartition dépenses - 7 premiers mois]]/$D$6</f>
        <v>7.77158219852538E-2</v>
      </c>
      <c r="G2" s="138" t="str">
        <f>'PTBA ALE'!D52</f>
        <v xml:space="preserve">Gouvernance des ressources naturelles du 4 Territoires </v>
      </c>
      <c r="H2" s="139">
        <f>'PTBA ALE'!I61</f>
        <v>209000</v>
      </c>
      <c r="I2" s="146">
        <f>Tableau3[[#This Row],[Part Budget]]/$H$11</f>
        <v>1.7951335218595727E-2</v>
      </c>
      <c r="J2" s="139">
        <f>'PTBA ALE'!Q61</f>
        <v>73000</v>
      </c>
      <c r="K2" s="140">
        <f>Tableau3[[#This Row],[Part Buget 7 mois]]/$J$11</f>
        <v>0.16787594578027631</v>
      </c>
    </row>
    <row r="3" spans="1:11" ht="26.4" customHeight="1" x14ac:dyDescent="0.35">
      <c r="A3" s="138" t="str">
        <f>'PTBA ALE'!D27</f>
        <v xml:space="preserve">Equipements </v>
      </c>
      <c r="B3" s="139">
        <f>'PTBA ALE'!I38</f>
        <v>994900</v>
      </c>
      <c r="C3" s="140">
        <f>Tableau1[[#This Row],[Répartition Montant Délégué Global]]/$B$6</f>
        <v>6.8856509926577047E-2</v>
      </c>
      <c r="D3" s="139">
        <f>'PTBA ALE'!Q38</f>
        <v>524900</v>
      </c>
      <c r="E3" s="140">
        <f>Tableau1[[#This Row],[Répartition dépenses - 7 premiers mois]]/$D$6</f>
        <v>0.45629793020201026</v>
      </c>
      <c r="G3" s="138" t="str">
        <f>'PTBA ALE'!D62</f>
        <v>Renforcement des capacités des services techniques déconcentrés</v>
      </c>
      <c r="H3" s="139">
        <f>'PTBA ALE'!I73</f>
        <v>230600</v>
      </c>
      <c r="I3" s="146">
        <f>Tableau3[[#This Row],[Part Budget]]/$H$11</f>
        <v>1.9806592829704185E-2</v>
      </c>
      <c r="J3" s="139">
        <f>'PTBA ALE'!Q73</f>
        <v>35291.666666666672</v>
      </c>
      <c r="K3" s="140">
        <f>Tableau3[[#This Row],[Part Buget 7 mois]]/$J$11</f>
        <v>8.115920438121807E-2</v>
      </c>
    </row>
    <row r="4" spans="1:11" ht="26.4" customHeight="1" x14ac:dyDescent="0.35">
      <c r="A4" s="138" t="str">
        <f>'PTBA ALE'!D39</f>
        <v>Fonctionnement projet</v>
      </c>
      <c r="B4" s="139">
        <f>'PTBA ALE'!I50</f>
        <v>726400</v>
      </c>
      <c r="C4" s="140">
        <f>Tableau1[[#This Row],[Répartition Montant Délégué Global]]/$B$6</f>
        <v>5.0273765012227932E-2</v>
      </c>
      <c r="D4" s="139">
        <f>'PTBA ALE'!Q50</f>
        <v>101200</v>
      </c>
      <c r="E4" s="140">
        <f>Tableau1[[#This Row],[Répartition dépenses - 7 premiers mois]]/$D$6</f>
        <v>8.797361504371011E-2</v>
      </c>
      <c r="G4" s="138" t="str">
        <f>'PTBA ALE'!D74</f>
        <v>Réalisation des investissements structurants</v>
      </c>
      <c r="H4" s="139">
        <f>'PTBA ALE'!I83</f>
        <v>3008788</v>
      </c>
      <c r="I4" s="146">
        <f>Tableau3[[#This Row],[Part Budget]]/$H$11</f>
        <v>0.2584294832042498</v>
      </c>
      <c r="J4" s="139">
        <f>'PTBA ALE'!Q83</f>
        <v>130000</v>
      </c>
      <c r="K4" s="140">
        <f>Tableau3[[#This Row],[Part Buget 7 mois]]/$J$11</f>
        <v>0.29895716371830028</v>
      </c>
    </row>
    <row r="5" spans="1:11" ht="26.4" customHeight="1" x14ac:dyDescent="0.35">
      <c r="A5" s="142" t="str">
        <f>'PTBA ALE'!D51</f>
        <v>Mise en œuvre des activités</v>
      </c>
      <c r="B5" s="143">
        <f>'PTBA ALE'!I116</f>
        <v>11642588</v>
      </c>
      <c r="C5" s="140">
        <f>Tableau1[[#This Row],[Répartition Montant Délégué Global]]/$B$6</f>
        <v>0.80577744114287553</v>
      </c>
      <c r="D5" s="143">
        <f>'PTBA ALE'!Q116</f>
        <v>434844.90681914444</v>
      </c>
      <c r="E5" s="140">
        <f>Tableau1[[#This Row],[Répartition dépenses - 7 premiers mois]]/$D$6</f>
        <v>0.37801263276902575</v>
      </c>
      <c r="G5" s="138" t="str">
        <f>'PTBA ALE'!D84</f>
        <v>Aide aux CLD à planifier la meilleure gestion des Ressources naturelles</v>
      </c>
      <c r="H5" s="139">
        <f>'PTBA ALE'!I88</f>
        <v>1230000</v>
      </c>
      <c r="I5" s="146">
        <f>Tableau3[[#This Row],[Part Budget]]/$H$11</f>
        <v>0.10564661396589831</v>
      </c>
      <c r="J5" s="139">
        <f>'PTBA ALE'!Q88</f>
        <v>90000</v>
      </c>
      <c r="K5" s="140">
        <f>Tableau3[[#This Row],[Part Buget 7 mois]]/$J$11</f>
        <v>0.20697034411266943</v>
      </c>
    </row>
    <row r="6" spans="1:11" ht="26.4" customHeight="1" x14ac:dyDescent="0.35">
      <c r="A6" s="149" t="s">
        <v>127</v>
      </c>
      <c r="B6" s="150">
        <f>SUM(Tableau1[Répartition Montant Délégué Global])</f>
        <v>14448888</v>
      </c>
      <c r="C6" s="151">
        <f>Tableau1[[#Totals],[Répartition Montant Délégué Global]]/$B$6</f>
        <v>1</v>
      </c>
      <c r="D6" s="150">
        <f>SUM(D2:D5)</f>
        <v>1150344.9068191445</v>
      </c>
      <c r="E6" s="151">
        <f>Tableau1[[#Totals],[Répartition dépenses - 7 premiers mois]]/$D$6</f>
        <v>1</v>
      </c>
      <c r="G6" s="138" t="str">
        <f>'PTBA ALE'!D89</f>
        <v>Appui aux investissements des PDD de CLD et à la recherche développement</v>
      </c>
      <c r="H6" s="139">
        <f>'PTBA ALE'!I98</f>
        <v>1814200</v>
      </c>
      <c r="I6" s="146">
        <f>Tableau3[[#This Row],[Part Budget]]/$H$11</f>
        <v>0.15582446102189651</v>
      </c>
      <c r="J6" s="139">
        <f>'PTBA ALE'!Q98</f>
        <v>55000</v>
      </c>
      <c r="K6" s="140">
        <f>Tableau3[[#This Row],[Part Buget 7 mois]]/$J$11</f>
        <v>0.12648187695774243</v>
      </c>
    </row>
    <row r="7" spans="1:11" ht="26.4" customHeight="1" x14ac:dyDescent="0.35">
      <c r="G7" s="138" t="str">
        <f>'PTBA ALE'!D99</f>
        <v>Contrats pour paiement au Résultat</v>
      </c>
      <c r="H7" s="139">
        <f>'PTBA ALE'!I105</f>
        <v>4050000</v>
      </c>
      <c r="I7" s="146">
        <f>Tableau3[[#This Row],[Part Budget]]/$H$11</f>
        <v>0.34786080208283587</v>
      </c>
      <c r="J7" s="139">
        <f>'PTBA ALE'!Q105</f>
        <v>7200</v>
      </c>
      <c r="K7" s="140">
        <f>Tableau3[[#This Row],[Part Buget 7 mois]]/$J$11</f>
        <v>1.6557627529013554E-2</v>
      </c>
    </row>
    <row r="8" spans="1:11" ht="26.4" customHeight="1" x14ac:dyDescent="0.35">
      <c r="G8" s="138" t="str">
        <f>'PTBA ALE'!D106</f>
        <v>Soutien au développement de filières (café, cacao, hévéa, huile de palme)</v>
      </c>
      <c r="H8" s="139">
        <f>'PTBA ALE'!I109</f>
        <v>300000</v>
      </c>
      <c r="I8" s="146">
        <f>Tableau3[[#This Row],[Part Budget]]/$H$11</f>
        <v>2.5767466820950807E-2</v>
      </c>
      <c r="J8" s="139">
        <f>'PTBA ALE'!Q109</f>
        <v>24353.240152477763</v>
      </c>
      <c r="K8" s="140">
        <f>Tableau3[[#This Row],[Part Buget 7 mois]]/$J$11</f>
        <v>5.6004427717964454E-2</v>
      </c>
    </row>
    <row r="9" spans="1:11" ht="26.4" customHeight="1" x14ac:dyDescent="0.35">
      <c r="G9" s="138" t="str">
        <f>'PTBA ALE'!D110</f>
        <v>Initiation au planning familial (contrats avec ONG locale) et à la prévention d'Ebola et du VIH SIDA</v>
      </c>
      <c r="H9" s="139">
        <f>'PTBA ALE'!I111</f>
        <v>300000</v>
      </c>
      <c r="I9" s="146">
        <f>Tableau3[[#This Row],[Part Budget]]/$H$11</f>
        <v>2.5767466820950807E-2</v>
      </c>
      <c r="J9" s="139">
        <f>'PTBA ALE'!Q111</f>
        <v>0</v>
      </c>
      <c r="K9" s="140">
        <f>Tableau3[[#This Row],[Part Buget 7 mois]]/$J$11</f>
        <v>0</v>
      </c>
    </row>
    <row r="10" spans="1:11" ht="26.4" customHeight="1" x14ac:dyDescent="0.35">
      <c r="G10" s="138" t="str">
        <f>'PTBA ALE'!D112</f>
        <v>Plan pour les Peuples Autochtones</v>
      </c>
      <c r="H10" s="139">
        <f>'PTBA ALE'!I115</f>
        <v>500000</v>
      </c>
      <c r="I10" s="146">
        <f>Tableau3[[#This Row],[Part Budget]]/$H$11</f>
        <v>4.294577803491801E-2</v>
      </c>
      <c r="J10" s="139">
        <f>'PTBA ALE'!Q115</f>
        <v>20000</v>
      </c>
      <c r="K10" s="140">
        <f>Tableau3[[#This Row],[Part Buget 7 mois]]/$J$11</f>
        <v>4.5993409802815431E-2</v>
      </c>
    </row>
    <row r="11" spans="1:11" ht="26.4" customHeight="1" x14ac:dyDescent="0.35">
      <c r="G11" s="155" t="s">
        <v>127</v>
      </c>
      <c r="H11" s="158">
        <f>SUM(H2:H10)</f>
        <v>11642588</v>
      </c>
      <c r="I11" s="156">
        <f t="shared" ref="I11:K11" si="0">SUM(I2:I10)</f>
        <v>1</v>
      </c>
      <c r="J11" s="158">
        <f t="shared" si="0"/>
        <v>434844.90681914444</v>
      </c>
      <c r="K11" s="157">
        <f t="shared" si="0"/>
        <v>0.99999999999999989</v>
      </c>
    </row>
    <row r="12" spans="1:11" ht="26.4" customHeight="1" x14ac:dyDescent="0.35"/>
    <row r="13" spans="1:11" ht="26.4" customHeight="1" x14ac:dyDescent="0.35"/>
    <row r="14" spans="1:11" ht="26.4" customHeight="1" x14ac:dyDescent="0.35"/>
    <row r="15" spans="1:11" ht="26.4" customHeight="1" x14ac:dyDescent="0.35"/>
    <row r="16" spans="1:11" ht="26.4" customHeight="1" x14ac:dyDescent="0.35"/>
    <row r="17" ht="26.4" customHeight="1" x14ac:dyDescent="0.35"/>
    <row r="18" ht="26.4" customHeight="1" x14ac:dyDescent="0.35"/>
    <row r="19" ht="26.4" customHeight="1" x14ac:dyDescent="0.35"/>
    <row r="20" ht="26.4" customHeight="1" x14ac:dyDescent="0.35"/>
    <row r="21" ht="26.4" customHeight="1" x14ac:dyDescent="0.35"/>
    <row r="22" ht="26.4" customHeight="1" x14ac:dyDescent="0.35"/>
    <row r="23" ht="26.4" customHeight="1" x14ac:dyDescent="0.35"/>
    <row r="24" ht="26.4" customHeight="1" x14ac:dyDescent="0.35"/>
    <row r="25" ht="26.4" customHeight="1" x14ac:dyDescent="0.35"/>
    <row r="26" ht="26.4" customHeight="1" x14ac:dyDescent="0.35"/>
  </sheetData>
  <pageMargins left="0.7" right="0.7" top="0.75" bottom="0.75" header="0.3" footer="0.3"/>
  <pageSetup paperSize="9" orientation="portrait" horizontalDpi="1200" verticalDpi="1200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tabSelected="1" workbookViewId="0">
      <selection activeCell="K18" sqref="K18"/>
    </sheetView>
  </sheetViews>
  <sheetFormatPr baseColWidth="10" defaultRowHeight="14.5" x14ac:dyDescent="0.35"/>
  <cols>
    <col min="1" max="1" width="4.90625" style="102" customWidth="1"/>
    <col min="2" max="2" width="92.6328125" customWidth="1"/>
    <col min="3" max="9" width="9" customWidth="1"/>
  </cols>
  <sheetData>
    <row r="1" spans="1:9" ht="15" thickBot="1" x14ac:dyDescent="0.4">
      <c r="A1" s="289" t="s">
        <v>255</v>
      </c>
      <c r="B1" s="289"/>
      <c r="C1" s="289"/>
      <c r="D1" s="289"/>
      <c r="E1" s="289"/>
      <c r="F1" s="289"/>
      <c r="G1" s="289"/>
      <c r="H1" s="289"/>
      <c r="I1" s="289"/>
    </row>
    <row r="2" spans="1:9" ht="15" thickBot="1" x14ac:dyDescent="0.4">
      <c r="A2" s="290" t="s">
        <v>139</v>
      </c>
      <c r="B2" s="292" t="s">
        <v>126</v>
      </c>
      <c r="C2" s="294" t="s">
        <v>140</v>
      </c>
      <c r="D2" s="295"/>
      <c r="E2" s="295"/>
      <c r="F2" s="295"/>
      <c r="G2" s="295"/>
      <c r="H2" s="295"/>
      <c r="I2" s="296"/>
    </row>
    <row r="3" spans="1:9" ht="15" thickBot="1" x14ac:dyDescent="0.4">
      <c r="A3" s="291"/>
      <c r="B3" s="293"/>
      <c r="C3" s="93">
        <v>1</v>
      </c>
      <c r="D3" s="93">
        <v>2</v>
      </c>
      <c r="E3" s="93">
        <v>3</v>
      </c>
      <c r="F3" s="93">
        <v>4</v>
      </c>
      <c r="G3" s="93">
        <v>5</v>
      </c>
      <c r="H3" s="93">
        <v>6</v>
      </c>
      <c r="I3" s="93">
        <v>7</v>
      </c>
    </row>
    <row r="4" spans="1:9" ht="16.25" customHeight="1" thickBot="1" x14ac:dyDescent="0.4">
      <c r="A4" s="103">
        <v>1</v>
      </c>
      <c r="B4" s="94" t="s">
        <v>141</v>
      </c>
      <c r="C4" s="95"/>
      <c r="D4" s="95"/>
      <c r="E4" s="95"/>
      <c r="F4" s="97"/>
      <c r="G4" s="97"/>
      <c r="H4" s="97"/>
      <c r="I4" s="97"/>
    </row>
    <row r="5" spans="1:9" ht="16.25" customHeight="1" thickBot="1" x14ac:dyDescent="0.4">
      <c r="A5" s="104" t="s">
        <v>188</v>
      </c>
      <c r="B5" s="96" t="s">
        <v>142</v>
      </c>
      <c r="C5" s="98"/>
      <c r="D5" s="98"/>
      <c r="E5" s="98"/>
      <c r="F5" s="97"/>
      <c r="G5" s="97"/>
      <c r="H5" s="97"/>
      <c r="I5" s="97"/>
    </row>
    <row r="6" spans="1:9" ht="16.25" customHeight="1" thickBot="1" x14ac:dyDescent="0.4">
      <c r="A6" s="104" t="s">
        <v>189</v>
      </c>
      <c r="B6" s="96" t="s">
        <v>143</v>
      </c>
      <c r="C6" s="98"/>
      <c r="D6" s="98"/>
      <c r="E6" s="98"/>
      <c r="F6" s="97"/>
      <c r="G6" s="97"/>
      <c r="H6" s="97"/>
      <c r="I6" s="97"/>
    </row>
    <row r="7" spans="1:9" ht="16.25" customHeight="1" thickBot="1" x14ac:dyDescent="0.4">
      <c r="A7" s="104" t="s">
        <v>190</v>
      </c>
      <c r="B7" s="96" t="s">
        <v>144</v>
      </c>
      <c r="C7" s="98"/>
      <c r="D7" s="98"/>
      <c r="E7" s="97"/>
      <c r="F7" s="97"/>
      <c r="G7" s="97"/>
      <c r="H7" s="97"/>
      <c r="I7" s="97"/>
    </row>
    <row r="8" spans="1:9" ht="16.25" customHeight="1" thickBot="1" x14ac:dyDescent="0.4">
      <c r="A8" s="104" t="s">
        <v>191</v>
      </c>
      <c r="B8" s="96" t="s">
        <v>145</v>
      </c>
      <c r="C8" s="98"/>
      <c r="D8" s="98"/>
      <c r="E8" s="97"/>
      <c r="F8" s="97"/>
      <c r="G8" s="97"/>
      <c r="H8" s="97"/>
      <c r="I8" s="97"/>
    </row>
    <row r="9" spans="1:9" ht="16.25" customHeight="1" thickBot="1" x14ac:dyDescent="0.4">
      <c r="A9" s="104" t="s">
        <v>192</v>
      </c>
      <c r="B9" s="96" t="s">
        <v>146</v>
      </c>
      <c r="C9" s="98"/>
      <c r="D9" s="98"/>
      <c r="E9" s="98"/>
      <c r="F9" s="97"/>
      <c r="G9" s="97"/>
      <c r="H9" s="97"/>
      <c r="I9" s="97"/>
    </row>
    <row r="10" spans="1:9" ht="16.25" customHeight="1" thickBot="1" x14ac:dyDescent="0.4">
      <c r="A10" s="104" t="s">
        <v>193</v>
      </c>
      <c r="B10" s="96" t="s">
        <v>147</v>
      </c>
      <c r="C10" s="97"/>
      <c r="D10" s="98"/>
      <c r="E10" s="98"/>
      <c r="F10" s="97"/>
      <c r="G10" s="97"/>
      <c r="H10" s="97"/>
      <c r="I10" s="97"/>
    </row>
    <row r="11" spans="1:9" ht="16.25" customHeight="1" thickBot="1" x14ac:dyDescent="0.4">
      <c r="A11" s="104" t="s">
        <v>194</v>
      </c>
      <c r="B11" s="96" t="s">
        <v>195</v>
      </c>
      <c r="C11" s="97"/>
      <c r="D11" s="98"/>
      <c r="E11" s="98"/>
      <c r="F11" s="97"/>
      <c r="G11" s="97"/>
      <c r="H11" s="97"/>
      <c r="I11" s="97"/>
    </row>
    <row r="12" spans="1:9" ht="16.25" customHeight="1" thickBot="1" x14ac:dyDescent="0.4">
      <c r="A12" s="104" t="s">
        <v>196</v>
      </c>
      <c r="B12" s="96" t="s">
        <v>148</v>
      </c>
      <c r="C12" s="98"/>
      <c r="D12" s="98"/>
      <c r="E12" s="97"/>
      <c r="F12" s="97"/>
      <c r="G12" s="97"/>
      <c r="H12" s="97"/>
      <c r="I12" s="97"/>
    </row>
    <row r="13" spans="1:9" ht="16.25" customHeight="1" thickBot="1" x14ac:dyDescent="0.4">
      <c r="A13" s="103">
        <v>2</v>
      </c>
      <c r="B13" s="94" t="s">
        <v>149</v>
      </c>
      <c r="C13" s="95"/>
      <c r="D13" s="95"/>
      <c r="E13" s="95"/>
      <c r="F13" s="95"/>
      <c r="G13" s="95"/>
      <c r="H13" s="95"/>
      <c r="I13" s="95"/>
    </row>
    <row r="14" spans="1:9" ht="16.25" customHeight="1" thickBot="1" x14ac:dyDescent="0.4">
      <c r="A14" s="104" t="s">
        <v>197</v>
      </c>
      <c r="B14" s="99" t="s">
        <v>150</v>
      </c>
      <c r="C14" s="98"/>
      <c r="D14" s="98"/>
      <c r="E14" s="98"/>
      <c r="F14" s="97"/>
      <c r="G14" s="97"/>
      <c r="H14" s="97"/>
      <c r="I14" s="97"/>
    </row>
    <row r="15" spans="1:9" ht="16.25" customHeight="1" thickBot="1" x14ac:dyDescent="0.4">
      <c r="A15" s="104" t="s">
        <v>198</v>
      </c>
      <c r="B15" s="96" t="s">
        <v>151</v>
      </c>
      <c r="C15" s="97"/>
      <c r="D15" s="97"/>
      <c r="E15" s="97"/>
      <c r="F15" s="98"/>
      <c r="G15" s="98"/>
      <c r="H15" s="98"/>
      <c r="I15" s="98"/>
    </row>
    <row r="16" spans="1:9" ht="16.25" customHeight="1" thickBot="1" x14ac:dyDescent="0.4">
      <c r="A16" s="104" t="s">
        <v>199</v>
      </c>
      <c r="B16" s="96" t="s">
        <v>152</v>
      </c>
      <c r="C16" s="97"/>
      <c r="D16" s="97"/>
      <c r="E16" s="98"/>
      <c r="F16" s="98"/>
      <c r="G16" s="98"/>
      <c r="H16" s="98"/>
      <c r="I16" s="98"/>
    </row>
    <row r="17" spans="1:9" ht="16.25" customHeight="1" thickBot="1" x14ac:dyDescent="0.4">
      <c r="A17" s="104" t="s">
        <v>200</v>
      </c>
      <c r="B17" s="99" t="s">
        <v>153</v>
      </c>
      <c r="C17" s="97"/>
      <c r="D17" s="97"/>
      <c r="E17" s="97"/>
      <c r="F17" s="97"/>
      <c r="G17" s="98"/>
      <c r="H17" s="98"/>
      <c r="I17" s="98"/>
    </row>
    <row r="18" spans="1:9" ht="16.25" customHeight="1" thickBot="1" x14ac:dyDescent="0.4">
      <c r="A18" s="104" t="s">
        <v>201</v>
      </c>
      <c r="B18" s="96" t="s">
        <v>154</v>
      </c>
      <c r="C18" s="98"/>
      <c r="D18" s="98"/>
      <c r="E18" s="98"/>
      <c r="F18" s="98"/>
      <c r="G18" s="98"/>
      <c r="H18" s="98"/>
      <c r="I18" s="98"/>
    </row>
    <row r="19" spans="1:9" ht="16.25" customHeight="1" thickBot="1" x14ac:dyDescent="0.4">
      <c r="A19" s="103">
        <v>3</v>
      </c>
      <c r="B19" s="94" t="s">
        <v>202</v>
      </c>
      <c r="C19" s="97"/>
      <c r="D19" s="97"/>
      <c r="E19" s="95"/>
      <c r="F19" s="95"/>
      <c r="G19" s="95"/>
      <c r="H19" s="95"/>
      <c r="I19" s="95"/>
    </row>
    <row r="20" spans="1:9" ht="16.25" customHeight="1" thickBot="1" x14ac:dyDescent="0.4">
      <c r="A20" s="104" t="s">
        <v>203</v>
      </c>
      <c r="B20" s="96" t="s">
        <v>155</v>
      </c>
      <c r="C20" s="97"/>
      <c r="D20" s="97"/>
      <c r="E20" s="98"/>
      <c r="F20" s="98"/>
      <c r="G20" s="98"/>
      <c r="H20" s="98"/>
      <c r="I20" s="98"/>
    </row>
    <row r="21" spans="1:9" ht="16.25" customHeight="1" thickBot="1" x14ac:dyDescent="0.4">
      <c r="A21" s="104" t="s">
        <v>204</v>
      </c>
      <c r="B21" s="96" t="s">
        <v>156</v>
      </c>
      <c r="C21" s="97"/>
      <c r="D21" s="97"/>
      <c r="E21" s="98"/>
      <c r="F21" s="97"/>
      <c r="G21" s="97"/>
      <c r="H21" s="97"/>
      <c r="I21" s="98"/>
    </row>
    <row r="22" spans="1:9" ht="16.25" customHeight="1" thickBot="1" x14ac:dyDescent="0.4">
      <c r="A22" s="104" t="s">
        <v>205</v>
      </c>
      <c r="B22" s="96" t="s">
        <v>157</v>
      </c>
      <c r="C22" s="97"/>
      <c r="D22" s="97"/>
      <c r="E22" s="97"/>
      <c r="F22" s="97"/>
      <c r="G22" s="97"/>
      <c r="H22" s="98"/>
      <c r="I22" s="98"/>
    </row>
    <row r="23" spans="1:9" ht="16.25" customHeight="1" thickBot="1" x14ac:dyDescent="0.4">
      <c r="A23" s="104" t="s">
        <v>206</v>
      </c>
      <c r="B23" s="96" t="s">
        <v>158</v>
      </c>
      <c r="C23" s="97"/>
      <c r="D23" s="97"/>
      <c r="E23" s="97"/>
      <c r="F23" s="98"/>
      <c r="G23" s="98"/>
      <c r="H23" s="98"/>
      <c r="I23" s="98"/>
    </row>
    <row r="24" spans="1:9" ht="16.25" customHeight="1" thickBot="1" x14ac:dyDescent="0.4">
      <c r="A24" s="103">
        <v>4</v>
      </c>
      <c r="B24" s="94" t="s">
        <v>159</v>
      </c>
      <c r="C24" s="97"/>
      <c r="D24" s="97"/>
      <c r="E24" s="97"/>
      <c r="F24" s="97"/>
      <c r="G24" s="95"/>
      <c r="H24" s="95"/>
      <c r="I24" s="95"/>
    </row>
    <row r="25" spans="1:9" ht="16.25" customHeight="1" thickBot="1" x14ac:dyDescent="0.4">
      <c r="A25" s="104" t="s">
        <v>207</v>
      </c>
      <c r="B25" s="96" t="s">
        <v>160</v>
      </c>
      <c r="C25" s="97"/>
      <c r="D25" s="97"/>
      <c r="E25" s="97"/>
      <c r="F25" s="97"/>
      <c r="G25" s="98"/>
      <c r="H25" s="98"/>
      <c r="I25" s="98"/>
    </row>
    <row r="26" spans="1:9" ht="16.25" customHeight="1" thickBot="1" x14ac:dyDescent="0.4">
      <c r="A26" s="104" t="s">
        <v>208</v>
      </c>
      <c r="B26" s="96" t="s">
        <v>161</v>
      </c>
      <c r="C26" s="97"/>
      <c r="D26" s="97"/>
      <c r="E26" s="97"/>
      <c r="F26" s="97"/>
      <c r="G26" s="98"/>
      <c r="H26" s="98"/>
      <c r="I26" s="98"/>
    </row>
    <row r="27" spans="1:9" ht="16.25" customHeight="1" thickBot="1" x14ac:dyDescent="0.4">
      <c r="A27" s="104" t="s">
        <v>209</v>
      </c>
      <c r="B27" s="96" t="s">
        <v>162</v>
      </c>
      <c r="C27" s="97"/>
      <c r="D27" s="97"/>
      <c r="E27" s="97"/>
      <c r="F27" s="97"/>
      <c r="G27" s="98"/>
      <c r="H27" s="98"/>
      <c r="I27" s="98"/>
    </row>
    <row r="28" spans="1:9" ht="16.25" customHeight="1" thickBot="1" x14ac:dyDescent="0.4">
      <c r="A28" s="103">
        <v>5</v>
      </c>
      <c r="B28" s="94" t="s">
        <v>163</v>
      </c>
      <c r="C28" s="97"/>
      <c r="D28" s="95"/>
      <c r="E28" s="95"/>
      <c r="F28" s="95"/>
      <c r="G28" s="95"/>
      <c r="H28" s="95"/>
      <c r="I28" s="95"/>
    </row>
    <row r="29" spans="1:9" ht="16.25" customHeight="1" thickBot="1" x14ac:dyDescent="0.4">
      <c r="A29" s="104" t="s">
        <v>210</v>
      </c>
      <c r="B29" s="96" t="s">
        <v>164</v>
      </c>
      <c r="C29" s="97"/>
      <c r="D29" s="98"/>
      <c r="E29" s="98"/>
      <c r="F29" s="98"/>
      <c r="G29" s="97"/>
      <c r="H29" s="97"/>
      <c r="I29" s="97"/>
    </row>
    <row r="30" spans="1:9" s="131" customFormat="1" ht="16.25" customHeight="1" thickBot="1" x14ac:dyDescent="0.4">
      <c r="A30" s="128" t="s">
        <v>211</v>
      </c>
      <c r="B30" s="129" t="s">
        <v>165</v>
      </c>
      <c r="C30" s="130"/>
      <c r="D30" s="130"/>
      <c r="E30" s="130"/>
      <c r="F30" s="130"/>
      <c r="G30" s="130"/>
      <c r="H30" s="130"/>
      <c r="I30" s="130"/>
    </row>
    <row r="31" spans="1:9" ht="16.25" customHeight="1" thickBot="1" x14ac:dyDescent="0.4">
      <c r="A31" s="104" t="s">
        <v>212</v>
      </c>
      <c r="B31" s="96" t="s">
        <v>166</v>
      </c>
      <c r="C31" s="97"/>
      <c r="D31" s="97"/>
      <c r="E31" s="97"/>
      <c r="F31" s="98"/>
      <c r="G31" s="97"/>
      <c r="H31" s="97"/>
      <c r="I31" s="97"/>
    </row>
    <row r="32" spans="1:9" ht="16.25" customHeight="1" thickBot="1" x14ac:dyDescent="0.4">
      <c r="A32" s="104" t="s">
        <v>213</v>
      </c>
      <c r="B32" s="96" t="s">
        <v>167</v>
      </c>
      <c r="C32" s="97"/>
      <c r="D32" s="97"/>
      <c r="E32" s="97"/>
      <c r="F32" s="97"/>
      <c r="G32" s="98"/>
      <c r="H32" s="98"/>
      <c r="I32" s="97"/>
    </row>
    <row r="33" spans="1:9" ht="16.25" customHeight="1" thickBot="1" x14ac:dyDescent="0.4">
      <c r="A33" s="104" t="s">
        <v>214</v>
      </c>
      <c r="B33" s="96" t="s">
        <v>168</v>
      </c>
      <c r="C33" s="97"/>
      <c r="D33" s="97"/>
      <c r="E33" s="97"/>
      <c r="F33" s="97"/>
      <c r="G33" s="97"/>
      <c r="H33" s="97"/>
      <c r="I33" s="100"/>
    </row>
    <row r="34" spans="1:9" ht="16.25" customHeight="1" thickBot="1" x14ac:dyDescent="0.4">
      <c r="A34" s="103">
        <v>6</v>
      </c>
      <c r="B34" s="94" t="s">
        <v>169</v>
      </c>
      <c r="C34" s="97"/>
      <c r="D34" s="95"/>
      <c r="E34" s="95"/>
      <c r="F34" s="95"/>
      <c r="G34" s="95"/>
      <c r="H34" s="95"/>
      <c r="I34" s="95"/>
    </row>
    <row r="35" spans="1:9" ht="16.25" customHeight="1" thickBot="1" x14ac:dyDescent="0.4">
      <c r="A35" s="104" t="s">
        <v>215</v>
      </c>
      <c r="B35" s="96" t="s">
        <v>170</v>
      </c>
      <c r="C35" s="97"/>
      <c r="D35" s="98"/>
      <c r="E35" s="98"/>
      <c r="F35" s="98"/>
      <c r="G35" s="98"/>
      <c r="H35" s="98"/>
      <c r="I35" s="98"/>
    </row>
    <row r="36" spans="1:9" ht="16.25" customHeight="1" thickBot="1" x14ac:dyDescent="0.4">
      <c r="A36" s="104" t="s">
        <v>216</v>
      </c>
      <c r="B36" s="96" t="s">
        <v>171</v>
      </c>
      <c r="C36" s="97"/>
      <c r="D36" s="98"/>
      <c r="E36" s="98"/>
      <c r="F36" s="98"/>
      <c r="G36" s="98"/>
      <c r="H36" s="98"/>
      <c r="I36" s="98"/>
    </row>
    <row r="37" spans="1:9" ht="16.25" customHeight="1" thickBot="1" x14ac:dyDescent="0.4">
      <c r="A37" s="104" t="s">
        <v>217</v>
      </c>
      <c r="B37" s="96" t="s">
        <v>172</v>
      </c>
      <c r="C37" s="97"/>
      <c r="D37" s="97"/>
      <c r="E37" s="98"/>
      <c r="F37" s="98"/>
      <c r="G37" s="98"/>
      <c r="H37" s="98"/>
      <c r="I37" s="98"/>
    </row>
    <row r="38" spans="1:9" ht="16.25" customHeight="1" thickBot="1" x14ac:dyDescent="0.4">
      <c r="A38" s="104" t="s">
        <v>218</v>
      </c>
      <c r="B38" s="96" t="s">
        <v>173</v>
      </c>
      <c r="C38" s="97"/>
      <c r="D38" s="97"/>
      <c r="E38" s="97"/>
      <c r="F38" s="97"/>
      <c r="G38" s="97"/>
      <c r="H38" s="97"/>
      <c r="I38" s="98"/>
    </row>
    <row r="39" spans="1:9" ht="16.25" customHeight="1" thickBot="1" x14ac:dyDescent="0.4">
      <c r="A39" s="104" t="s">
        <v>219</v>
      </c>
      <c r="B39" s="96" t="s">
        <v>174</v>
      </c>
      <c r="C39" s="97"/>
      <c r="D39" s="98"/>
      <c r="E39" s="98"/>
      <c r="F39" s="98"/>
      <c r="G39" s="98"/>
      <c r="H39" s="98"/>
      <c r="I39" s="98"/>
    </row>
    <row r="40" spans="1:9" ht="16.25" customHeight="1" thickBot="1" x14ac:dyDescent="0.4">
      <c r="A40" s="104" t="s">
        <v>220</v>
      </c>
      <c r="B40" s="96" t="s">
        <v>175</v>
      </c>
      <c r="C40" s="97"/>
      <c r="D40" s="98"/>
      <c r="E40" s="98"/>
      <c r="F40" s="98"/>
      <c r="G40" s="98"/>
      <c r="H40" s="98"/>
      <c r="I40" s="98"/>
    </row>
    <row r="41" spans="1:9" ht="16.25" customHeight="1" thickBot="1" x14ac:dyDescent="0.4">
      <c r="A41" s="103">
        <v>7</v>
      </c>
      <c r="B41" s="94" t="s">
        <v>176</v>
      </c>
      <c r="C41" s="97"/>
      <c r="D41" s="95"/>
      <c r="E41" s="95"/>
      <c r="F41" s="95"/>
      <c r="G41" s="95"/>
      <c r="H41" s="95"/>
      <c r="I41" s="95"/>
    </row>
    <row r="42" spans="1:9" ht="16.25" customHeight="1" thickBot="1" x14ac:dyDescent="0.4">
      <c r="A42" s="104" t="s">
        <v>221</v>
      </c>
      <c r="B42" s="96" t="s">
        <v>177</v>
      </c>
      <c r="C42" s="97"/>
      <c r="D42" s="97"/>
      <c r="E42" s="98"/>
      <c r="F42" s="98"/>
      <c r="G42" s="98"/>
      <c r="H42" s="98"/>
      <c r="I42" s="98"/>
    </row>
    <row r="43" spans="1:9" ht="16.25" customHeight="1" thickBot="1" x14ac:dyDescent="0.4">
      <c r="A43" s="104" t="s">
        <v>222</v>
      </c>
      <c r="B43" s="96" t="s">
        <v>178</v>
      </c>
      <c r="C43" s="97"/>
      <c r="D43" s="97"/>
      <c r="E43" s="97"/>
      <c r="F43" s="97"/>
      <c r="G43" s="97"/>
      <c r="H43" s="97"/>
      <c r="I43" s="98"/>
    </row>
    <row r="44" spans="1:9" ht="16.25" customHeight="1" thickBot="1" x14ac:dyDescent="0.4">
      <c r="A44" s="104" t="s">
        <v>223</v>
      </c>
      <c r="B44" s="96" t="s">
        <v>179</v>
      </c>
      <c r="C44" s="97"/>
      <c r="D44" s="97"/>
      <c r="E44" s="97"/>
      <c r="F44" s="97"/>
      <c r="G44" s="97"/>
      <c r="H44" s="97"/>
      <c r="I44" s="98"/>
    </row>
    <row r="45" spans="1:9" ht="16.25" customHeight="1" thickBot="1" x14ac:dyDescent="0.4">
      <c r="A45" s="103">
        <v>8</v>
      </c>
      <c r="B45" s="94" t="s">
        <v>180</v>
      </c>
      <c r="C45" s="97"/>
      <c r="D45" s="95"/>
      <c r="E45" s="95"/>
      <c r="F45" s="95"/>
      <c r="G45" s="95"/>
      <c r="H45" s="95"/>
      <c r="I45" s="95"/>
    </row>
    <row r="46" spans="1:9" ht="16.25" customHeight="1" thickBot="1" x14ac:dyDescent="0.4">
      <c r="A46" s="104" t="s">
        <v>224</v>
      </c>
      <c r="B46" s="96" t="s">
        <v>181</v>
      </c>
      <c r="C46" s="97"/>
      <c r="D46" s="98"/>
      <c r="E46" s="98"/>
      <c r="F46" s="97"/>
      <c r="G46" s="97"/>
      <c r="H46" s="97"/>
      <c r="I46" s="97"/>
    </row>
    <row r="47" spans="1:9" ht="16.25" customHeight="1" thickBot="1" x14ac:dyDescent="0.4">
      <c r="A47" s="104" t="s">
        <v>225</v>
      </c>
      <c r="B47" s="96" t="s">
        <v>182</v>
      </c>
      <c r="C47" s="97"/>
      <c r="D47" s="97"/>
      <c r="E47" s="98"/>
      <c r="F47" s="98"/>
      <c r="G47" s="98"/>
      <c r="H47" s="98"/>
      <c r="I47" s="98"/>
    </row>
    <row r="48" spans="1:9" ht="16.25" customHeight="1" thickBot="1" x14ac:dyDescent="0.4">
      <c r="A48" s="104" t="s">
        <v>226</v>
      </c>
      <c r="B48" s="96" t="s">
        <v>183</v>
      </c>
      <c r="C48" s="97"/>
      <c r="D48" s="97"/>
      <c r="E48" s="98"/>
      <c r="F48" s="98"/>
      <c r="G48" s="98"/>
      <c r="H48" s="98"/>
      <c r="I48" s="98"/>
    </row>
    <row r="49" spans="1:9" ht="16.25" customHeight="1" thickBot="1" x14ac:dyDescent="0.4">
      <c r="A49" s="104" t="s">
        <v>227</v>
      </c>
      <c r="B49" s="96" t="s">
        <v>184</v>
      </c>
      <c r="C49" s="97"/>
      <c r="D49" s="97"/>
      <c r="E49" s="97"/>
      <c r="F49" s="97"/>
      <c r="G49" s="97"/>
      <c r="H49" s="97"/>
      <c r="I49" s="98"/>
    </row>
    <row r="50" spans="1:9" ht="16.25" customHeight="1" thickBot="1" x14ac:dyDescent="0.4">
      <c r="A50" s="104" t="s">
        <v>228</v>
      </c>
      <c r="B50" s="96" t="s">
        <v>185</v>
      </c>
      <c r="C50" s="97"/>
      <c r="D50" s="97"/>
      <c r="E50" s="97"/>
      <c r="F50" s="97"/>
      <c r="G50" s="97"/>
      <c r="H50" s="97"/>
      <c r="I50" s="98"/>
    </row>
    <row r="51" spans="1:9" ht="16.25" customHeight="1" thickBot="1" x14ac:dyDescent="0.4">
      <c r="A51" s="104" t="s">
        <v>229</v>
      </c>
      <c r="B51" s="96" t="s">
        <v>186</v>
      </c>
      <c r="C51" s="97"/>
      <c r="D51" s="97"/>
      <c r="E51" s="97"/>
      <c r="F51" s="97"/>
      <c r="G51" s="97"/>
      <c r="H51" s="97"/>
      <c r="I51" s="98"/>
    </row>
    <row r="52" spans="1:9" ht="16.25" customHeight="1" thickBot="1" x14ac:dyDescent="0.4">
      <c r="A52" s="104" t="s">
        <v>230</v>
      </c>
      <c r="B52" s="96" t="s">
        <v>187</v>
      </c>
      <c r="C52" s="97"/>
      <c r="D52" s="97"/>
      <c r="E52" s="97"/>
      <c r="F52" s="97"/>
      <c r="G52" s="97"/>
      <c r="H52" s="97"/>
      <c r="I52" s="98"/>
    </row>
    <row r="53" spans="1:9" ht="16.25" customHeight="1" thickBot="1" x14ac:dyDescent="0.4">
      <c r="A53" s="105">
        <v>9</v>
      </c>
      <c r="B53" s="94" t="s">
        <v>231</v>
      </c>
      <c r="C53" s="95"/>
      <c r="D53" s="95"/>
      <c r="E53" s="95"/>
      <c r="F53" s="95"/>
      <c r="G53" s="95"/>
      <c r="H53" s="95"/>
      <c r="I53" s="95"/>
    </row>
    <row r="54" spans="1:9" ht="16.25" customHeight="1" thickBot="1" x14ac:dyDescent="0.4">
      <c r="A54" s="104" t="s">
        <v>232</v>
      </c>
      <c r="B54" s="96" t="s">
        <v>233</v>
      </c>
      <c r="C54" s="97"/>
      <c r="D54" s="98"/>
      <c r="E54" s="98"/>
      <c r="F54" s="98"/>
      <c r="G54" s="98"/>
      <c r="H54" s="98"/>
      <c r="I54" s="98"/>
    </row>
    <row r="55" spans="1:9" ht="16.25" customHeight="1" thickBot="1" x14ac:dyDescent="0.4">
      <c r="A55" s="104" t="s">
        <v>234</v>
      </c>
      <c r="B55" s="96" t="s">
        <v>235</v>
      </c>
      <c r="C55" s="97"/>
      <c r="D55" s="97"/>
      <c r="E55" s="97"/>
      <c r="F55" s="97"/>
      <c r="G55" s="97"/>
      <c r="H55" s="97"/>
      <c r="I55" s="98"/>
    </row>
    <row r="56" spans="1:9" ht="16.25" customHeight="1" thickBot="1" x14ac:dyDescent="0.4">
      <c r="A56" s="103">
        <v>10</v>
      </c>
      <c r="B56" s="94" t="s">
        <v>236</v>
      </c>
      <c r="C56" s="97"/>
      <c r="D56" s="97"/>
      <c r="E56" s="97"/>
      <c r="F56" s="95"/>
      <c r="G56" s="95"/>
      <c r="H56" s="95"/>
      <c r="I56" s="95"/>
    </row>
    <row r="57" spans="1:9" ht="16.25" customHeight="1" thickBot="1" x14ac:dyDescent="0.4">
      <c r="A57" s="104" t="s">
        <v>237</v>
      </c>
      <c r="B57" s="96" t="s">
        <v>238</v>
      </c>
      <c r="C57" s="97"/>
      <c r="D57" s="97"/>
      <c r="E57" s="97"/>
      <c r="F57" s="98"/>
      <c r="G57" s="98"/>
      <c r="H57" s="98"/>
      <c r="I57" s="98"/>
    </row>
    <row r="58" spans="1:9" ht="16.25" customHeight="1" thickBot="1" x14ac:dyDescent="0.4">
      <c r="A58" s="104" t="s">
        <v>239</v>
      </c>
      <c r="B58" s="96" t="s">
        <v>240</v>
      </c>
      <c r="C58" s="97"/>
      <c r="D58" s="97"/>
      <c r="E58" s="97"/>
      <c r="F58" s="98"/>
      <c r="G58" s="98"/>
      <c r="H58" s="101"/>
      <c r="I58" s="97"/>
    </row>
    <row r="59" spans="1:9" ht="16.25" customHeight="1" thickBot="1" x14ac:dyDescent="0.4">
      <c r="A59" s="104" t="s">
        <v>241</v>
      </c>
      <c r="B59" s="96" t="s">
        <v>242</v>
      </c>
      <c r="C59" s="97"/>
      <c r="D59" s="97"/>
      <c r="E59" s="97"/>
      <c r="F59" s="101"/>
      <c r="G59" s="97"/>
      <c r="H59" s="97"/>
      <c r="I59" s="97"/>
    </row>
    <row r="60" spans="1:9" ht="16.25" customHeight="1" thickBot="1" x14ac:dyDescent="0.4">
      <c r="A60" s="104" t="s">
        <v>243</v>
      </c>
      <c r="B60" s="96" t="s">
        <v>244</v>
      </c>
      <c r="C60" s="97"/>
      <c r="D60" s="97"/>
      <c r="E60" s="97"/>
      <c r="F60" s="101"/>
      <c r="G60" s="97"/>
      <c r="H60" s="97"/>
      <c r="I60" s="97"/>
    </row>
    <row r="61" spans="1:9" ht="16.25" customHeight="1" thickBot="1" x14ac:dyDescent="0.4">
      <c r="A61" s="104" t="s">
        <v>245</v>
      </c>
      <c r="B61" s="96" t="s">
        <v>246</v>
      </c>
      <c r="C61" s="97"/>
      <c r="D61" s="97"/>
      <c r="E61" s="97"/>
      <c r="F61" s="101"/>
      <c r="G61" s="97"/>
      <c r="H61" s="97"/>
      <c r="I61" s="101"/>
    </row>
    <row r="62" spans="1:9" ht="16.25" customHeight="1" thickBot="1" x14ac:dyDescent="0.4">
      <c r="A62" s="104" t="s">
        <v>247</v>
      </c>
      <c r="B62" s="96" t="s">
        <v>248</v>
      </c>
      <c r="C62" s="97"/>
      <c r="D62" s="97"/>
      <c r="E62" s="97"/>
      <c r="F62" s="97"/>
      <c r="G62" s="97"/>
      <c r="H62" s="97"/>
      <c r="I62" s="101"/>
    </row>
    <row r="63" spans="1:9" ht="16.25" customHeight="1" thickBot="1" x14ac:dyDescent="0.4">
      <c r="A63" s="104" t="s">
        <v>249</v>
      </c>
      <c r="B63" s="96" t="s">
        <v>250</v>
      </c>
      <c r="C63" s="97"/>
      <c r="D63" s="97"/>
      <c r="E63" s="97"/>
      <c r="F63" s="97"/>
      <c r="G63" s="97"/>
      <c r="H63" s="97"/>
      <c r="I63" s="97"/>
    </row>
    <row r="64" spans="1:9" ht="16.25" customHeight="1" thickBot="1" x14ac:dyDescent="0.4">
      <c r="A64" s="104" t="s">
        <v>251</v>
      </c>
      <c r="B64" s="96" t="s">
        <v>252</v>
      </c>
      <c r="C64" s="97"/>
      <c r="D64" s="97"/>
      <c r="E64" s="97"/>
      <c r="F64" s="97"/>
      <c r="G64" s="97"/>
      <c r="H64" s="97"/>
      <c r="I64" s="97"/>
    </row>
    <row r="65" spans="1:9" ht="16.25" customHeight="1" thickBot="1" x14ac:dyDescent="0.4">
      <c r="A65" s="104" t="s">
        <v>253</v>
      </c>
      <c r="B65" s="96" t="s">
        <v>254</v>
      </c>
      <c r="C65" s="97"/>
      <c r="D65" s="97"/>
      <c r="E65" s="97"/>
      <c r="F65" s="97"/>
      <c r="G65" s="97"/>
      <c r="H65" s="97"/>
      <c r="I65" s="97"/>
    </row>
    <row r="66" spans="1:9" x14ac:dyDescent="0.35">
      <c r="A66" s="106"/>
    </row>
  </sheetData>
  <mergeCells count="4">
    <mergeCell ref="A1:I1"/>
    <mergeCell ref="A2:A3"/>
    <mergeCell ref="B2:B3"/>
    <mergeCell ref="C2:I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PTBA ALE PIF</vt:lpstr>
      <vt:lpstr>PTBA ALE</vt:lpstr>
      <vt:lpstr>Tableaux &amp; Graphiques</vt:lpstr>
      <vt:lpstr>Chronogramme</vt:lpstr>
      <vt:lpstr>'PTBA ALE'!Zone_d_impression</vt:lpstr>
      <vt:lpstr>'PTBA ALE PIF'!Zone_d_impression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FRM</dc:creator>
  <cp:lastModifiedBy>Astrid NTANGA</cp:lastModifiedBy>
  <cp:lastPrinted>2018-05-07T12:21:58Z</cp:lastPrinted>
  <dcterms:created xsi:type="dcterms:W3CDTF">2018-04-05T06:54:06Z</dcterms:created>
  <dcterms:modified xsi:type="dcterms:W3CDTF">2018-09-05T13:58:40Z</dcterms:modified>
</cp:coreProperties>
</file>