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ONAREDD04\Documents\FONAREDD\Documents projets\BANQUE MONDIALE\Mai Ndombe\PTBA\"/>
    </mc:Choice>
  </mc:AlternateContent>
  <xr:revisionPtr revIDLastSave="0" documentId="8_{7FAD438A-EEEA-460C-B7F0-2F60D3037CE9}" xr6:coauthVersionLast="36" xr6:coauthVersionMax="36" xr10:uidLastSave="{00000000-0000-0000-0000-000000000000}"/>
  <bookViews>
    <workbookView xWindow="0" yWindow="0" windowWidth="19200" windowHeight="7810" xr2:uid="{00000000-000D-0000-FFFF-FFFF00000000}"/>
  </bookViews>
  <sheets>
    <sheet name="PTBA" sheetId="1" r:id="rId1"/>
  </sheets>
  <definedNames>
    <definedName name="Avance1">#REF!</definedName>
    <definedName name="Avance2">#REF!</definedName>
    <definedName name="CotisMedic">#REF!</definedName>
    <definedName name="IndLog">#REF!</definedName>
    <definedName name="IndTransp">#REF!</definedName>
    <definedName name="INPP">#REF!</definedName>
    <definedName name="INSS35">#REF!</definedName>
    <definedName name="INSS5">#REF!</definedName>
    <definedName name="IPR">#REF!</definedName>
    <definedName name="MOD">#REF!</definedName>
    <definedName name="OverhCons">#REF!</definedName>
    <definedName name="OverhSal">#REF!</definedName>
    <definedName name="PrimeRepas">#REF!</definedName>
    <definedName name="TVA">#REF!</definedName>
    <definedName name="_xlnm.Print_Area" localSheetId="0">PTBA!$A$6:$K$111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" l="1"/>
  <c r="O31" i="1"/>
  <c r="P31" i="1"/>
  <c r="L31" i="1"/>
  <c r="O48" i="1"/>
  <c r="Q117" i="1" l="1"/>
  <c r="K117" i="1"/>
  <c r="P117" i="1" s="1"/>
  <c r="H117" i="1"/>
  <c r="K116" i="1"/>
  <c r="Q115" i="1"/>
  <c r="K115" i="1"/>
  <c r="P115" i="1" s="1"/>
  <c r="Q114" i="1"/>
  <c r="P114" i="1"/>
  <c r="Q113" i="1"/>
  <c r="K113" i="1"/>
  <c r="P113" i="1" s="1"/>
  <c r="O112" i="1"/>
  <c r="N112" i="1"/>
  <c r="M112" i="1"/>
  <c r="J112" i="1"/>
  <c r="J118" i="1" s="1"/>
  <c r="I112" i="1"/>
  <c r="I118" i="1" s="1"/>
  <c r="F112" i="1"/>
  <c r="E112" i="1"/>
  <c r="L105" i="1"/>
  <c r="K105" i="1"/>
  <c r="J105" i="1"/>
  <c r="I105" i="1"/>
  <c r="G105" i="1"/>
  <c r="F105" i="1"/>
  <c r="P104" i="1"/>
  <c r="N104" i="1"/>
  <c r="N105" i="1" s="1"/>
  <c r="M104" i="1"/>
  <c r="M105" i="1" s="1"/>
  <c r="Q103" i="1"/>
  <c r="P103" i="1"/>
  <c r="I101" i="1"/>
  <c r="G101" i="1"/>
  <c r="F101" i="1"/>
  <c r="M100" i="1"/>
  <c r="N100" i="1" s="1"/>
  <c r="O100" i="1" s="1"/>
  <c r="L100" i="1"/>
  <c r="L101" i="1" s="1"/>
  <c r="K100" i="1"/>
  <c r="K101" i="1" s="1"/>
  <c r="J100" i="1"/>
  <c r="J101" i="1" s="1"/>
  <c r="P99" i="1"/>
  <c r="N99" i="1"/>
  <c r="N97" i="1"/>
  <c r="L97" i="1"/>
  <c r="J97" i="1"/>
  <c r="I97" i="1"/>
  <c r="H97" i="1"/>
  <c r="G97" i="1"/>
  <c r="F97" i="1"/>
  <c r="P96" i="1"/>
  <c r="O96" i="1"/>
  <c r="Q96" i="1" s="1"/>
  <c r="P95" i="1"/>
  <c r="O95" i="1"/>
  <c r="Q95" i="1" s="1"/>
  <c r="Q94" i="1"/>
  <c r="M94" i="1"/>
  <c r="M97" i="1" s="1"/>
  <c r="K94" i="1"/>
  <c r="K97" i="1" s="1"/>
  <c r="Q93" i="1"/>
  <c r="P93" i="1"/>
  <c r="P92" i="1"/>
  <c r="O92" i="1"/>
  <c r="Q92" i="1" s="1"/>
  <c r="L90" i="1"/>
  <c r="J90" i="1"/>
  <c r="I90" i="1"/>
  <c r="H90" i="1"/>
  <c r="G90" i="1"/>
  <c r="F90" i="1"/>
  <c r="Q89" i="1"/>
  <c r="P89" i="1"/>
  <c r="O89" i="1"/>
  <c r="P88" i="1"/>
  <c r="O88" i="1"/>
  <c r="Q88" i="1" s="1"/>
  <c r="Q87" i="1"/>
  <c r="P87" i="1"/>
  <c r="Q86" i="1"/>
  <c r="P86" i="1"/>
  <c r="N86" i="1"/>
  <c r="P85" i="1"/>
  <c r="M85" i="1"/>
  <c r="N85" i="1" s="1"/>
  <c r="O85" i="1" s="1"/>
  <c r="P84" i="1"/>
  <c r="N84" i="1"/>
  <c r="O84" i="1" s="1"/>
  <c r="M84" i="1"/>
  <c r="Q83" i="1"/>
  <c r="P83" i="1"/>
  <c r="Q82" i="1"/>
  <c r="M82" i="1"/>
  <c r="N82" i="1" s="1"/>
  <c r="O82" i="1" s="1"/>
  <c r="K82" i="1"/>
  <c r="K90" i="1" s="1"/>
  <c r="L80" i="1"/>
  <c r="J80" i="1"/>
  <c r="I80" i="1"/>
  <c r="H80" i="1"/>
  <c r="G80" i="1"/>
  <c r="F80" i="1"/>
  <c r="P79" i="1"/>
  <c r="N79" i="1"/>
  <c r="O79" i="1" s="1"/>
  <c r="M79" i="1"/>
  <c r="P78" i="1"/>
  <c r="M78" i="1"/>
  <c r="N78" i="1" s="1"/>
  <c r="O78" i="1" s="1"/>
  <c r="M77" i="1"/>
  <c r="K77" i="1"/>
  <c r="P77" i="1" s="1"/>
  <c r="K75" i="1"/>
  <c r="J75" i="1"/>
  <c r="I75" i="1"/>
  <c r="G75" i="1"/>
  <c r="F75" i="1"/>
  <c r="O74" i="1"/>
  <c r="N74" i="1"/>
  <c r="N72" i="1" s="1"/>
  <c r="M74" i="1"/>
  <c r="Q73" i="1"/>
  <c r="P72" i="1"/>
  <c r="O72" i="1"/>
  <c r="L72" i="1"/>
  <c r="P71" i="1"/>
  <c r="M71" i="1"/>
  <c r="P70" i="1"/>
  <c r="L70" i="1"/>
  <c r="L67" i="1"/>
  <c r="J67" i="1"/>
  <c r="I67" i="1"/>
  <c r="G67" i="1"/>
  <c r="F67" i="1"/>
  <c r="Q66" i="1"/>
  <c r="O66" i="1"/>
  <c r="K66" i="1"/>
  <c r="P66" i="1" s="1"/>
  <c r="Q65" i="1"/>
  <c r="P65" i="1"/>
  <c r="P64" i="1"/>
  <c r="O64" i="1"/>
  <c r="M64" i="1"/>
  <c r="N64" i="1" s="1"/>
  <c r="M63" i="1"/>
  <c r="N63" i="1" s="1"/>
  <c r="K63" i="1"/>
  <c r="P63" i="1" s="1"/>
  <c r="M62" i="1"/>
  <c r="N62" i="1" s="1"/>
  <c r="O62" i="1" s="1"/>
  <c r="K62" i="1"/>
  <c r="P62" i="1" s="1"/>
  <c r="M61" i="1"/>
  <c r="N61" i="1" s="1"/>
  <c r="K61" i="1"/>
  <c r="P61" i="1" s="1"/>
  <c r="N60" i="1"/>
  <c r="O60" i="1" s="1"/>
  <c r="M60" i="1"/>
  <c r="K60" i="1"/>
  <c r="P60" i="1" s="1"/>
  <c r="Q59" i="1"/>
  <c r="H59" i="1" s="1"/>
  <c r="P59" i="1"/>
  <c r="K59" i="1"/>
  <c r="M58" i="1"/>
  <c r="K58" i="1"/>
  <c r="P58" i="1" s="1"/>
  <c r="P67" i="1" s="1"/>
  <c r="K56" i="1"/>
  <c r="I56" i="1"/>
  <c r="G56" i="1"/>
  <c r="G106" i="1" s="1"/>
  <c r="F56" i="1"/>
  <c r="P55" i="1"/>
  <c r="M55" i="1"/>
  <c r="Q54" i="1"/>
  <c r="H54" i="1" s="1"/>
  <c r="O54" i="1"/>
  <c r="J54" i="1"/>
  <c r="O53" i="1"/>
  <c r="Q53" i="1" s="1"/>
  <c r="K53" i="1"/>
  <c r="P53" i="1" s="1"/>
  <c r="O52" i="1"/>
  <c r="Q52" i="1" s="1"/>
  <c r="K52" i="1"/>
  <c r="P52" i="1" s="1"/>
  <c r="M51" i="1"/>
  <c r="M56" i="1" s="1"/>
  <c r="L51" i="1"/>
  <c r="K51" i="1"/>
  <c r="P51" i="1" s="1"/>
  <c r="P50" i="1"/>
  <c r="N50" i="1"/>
  <c r="Q49" i="1"/>
  <c r="P49" i="1"/>
  <c r="Q48" i="1"/>
  <c r="P48" i="1"/>
  <c r="L45" i="1"/>
  <c r="H45" i="1"/>
  <c r="G45" i="1"/>
  <c r="F45" i="1"/>
  <c r="P44" i="1"/>
  <c r="M44" i="1"/>
  <c r="N44" i="1" s="1"/>
  <c r="O44" i="1" s="1"/>
  <c r="K44" i="1"/>
  <c r="J44" i="1"/>
  <c r="I44" i="1"/>
  <c r="P43" i="1"/>
  <c r="M43" i="1"/>
  <c r="N43" i="1" s="1"/>
  <c r="O43" i="1" s="1"/>
  <c r="K43" i="1"/>
  <c r="J43" i="1"/>
  <c r="I43" i="1"/>
  <c r="O42" i="1"/>
  <c r="N42" i="1"/>
  <c r="M42" i="1"/>
  <c r="K42" i="1"/>
  <c r="J42" i="1"/>
  <c r="I42" i="1"/>
  <c r="P42" i="1" s="1"/>
  <c r="N41" i="1"/>
  <c r="O41" i="1" s="1"/>
  <c r="M41" i="1"/>
  <c r="K41" i="1"/>
  <c r="J41" i="1"/>
  <c r="P41" i="1" s="1"/>
  <c r="N40" i="1"/>
  <c r="O40" i="1" s="1"/>
  <c r="M40" i="1"/>
  <c r="K40" i="1"/>
  <c r="J40" i="1"/>
  <c r="P40" i="1" s="1"/>
  <c r="N39" i="1"/>
  <c r="O39" i="1" s="1"/>
  <c r="M39" i="1"/>
  <c r="K39" i="1"/>
  <c r="J39" i="1"/>
  <c r="I39" i="1"/>
  <c r="P39" i="1" s="1"/>
  <c r="N38" i="1"/>
  <c r="O38" i="1" s="1"/>
  <c r="M38" i="1"/>
  <c r="K38" i="1"/>
  <c r="J38" i="1"/>
  <c r="P38" i="1" s="1"/>
  <c r="M37" i="1"/>
  <c r="N37" i="1" s="1"/>
  <c r="O37" i="1" s="1"/>
  <c r="K37" i="1"/>
  <c r="J37" i="1"/>
  <c r="P37" i="1" s="1"/>
  <c r="P36" i="1"/>
  <c r="M36" i="1"/>
  <c r="N36" i="1" s="1"/>
  <c r="O36" i="1" s="1"/>
  <c r="K36" i="1"/>
  <c r="K45" i="1" s="1"/>
  <c r="J36" i="1"/>
  <c r="J45" i="1" s="1"/>
  <c r="I36" i="1"/>
  <c r="I45" i="1" s="1"/>
  <c r="K34" i="1"/>
  <c r="J34" i="1"/>
  <c r="I34" i="1"/>
  <c r="G34" i="1"/>
  <c r="F34" i="1"/>
  <c r="M33" i="1"/>
  <c r="Q32" i="1"/>
  <c r="P30" i="1"/>
  <c r="P34" i="1" s="1"/>
  <c r="L30" i="1"/>
  <c r="L34" i="1" s="1"/>
  <c r="M26" i="1"/>
  <c r="L26" i="1"/>
  <c r="I26" i="1"/>
  <c r="H26" i="1"/>
  <c r="G26" i="1"/>
  <c r="F26" i="1"/>
  <c r="P25" i="1"/>
  <c r="N25" i="1"/>
  <c r="O25" i="1" s="1"/>
  <c r="Q25" i="1" s="1"/>
  <c r="K25" i="1"/>
  <c r="J25" i="1"/>
  <c r="O24" i="1"/>
  <c r="O26" i="1" s="1"/>
  <c r="N24" i="1"/>
  <c r="K24" i="1"/>
  <c r="K26" i="1" s="1"/>
  <c r="J24" i="1"/>
  <c r="J26" i="1" s="1"/>
  <c r="I22" i="1"/>
  <c r="G22" i="1"/>
  <c r="F22" i="1"/>
  <c r="L20" i="1"/>
  <c r="L22" i="1" s="1"/>
  <c r="K20" i="1"/>
  <c r="K22" i="1" s="1"/>
  <c r="J20" i="1"/>
  <c r="J22" i="1" s="1"/>
  <c r="I18" i="1"/>
  <c r="G18" i="1"/>
  <c r="G27" i="1" s="1"/>
  <c r="G107" i="1" s="1"/>
  <c r="F18" i="1"/>
  <c r="F27" i="1" s="1"/>
  <c r="L17" i="1"/>
  <c r="M17" i="1" s="1"/>
  <c r="N17" i="1" s="1"/>
  <c r="O17" i="1" s="1"/>
  <c r="K17" i="1"/>
  <c r="J17" i="1"/>
  <c r="P17" i="1" s="1"/>
  <c r="L16" i="1"/>
  <c r="K16" i="1"/>
  <c r="J16" i="1"/>
  <c r="P16" i="1" s="1"/>
  <c r="L15" i="1"/>
  <c r="M15" i="1" s="1"/>
  <c r="N15" i="1" s="1"/>
  <c r="O15" i="1" s="1"/>
  <c r="K15" i="1"/>
  <c r="J15" i="1"/>
  <c r="P15" i="1" s="1"/>
  <c r="L14" i="1"/>
  <c r="K14" i="1"/>
  <c r="J14" i="1"/>
  <c r="P14" i="1" s="1"/>
  <c r="M13" i="1"/>
  <c r="N13" i="1" s="1"/>
  <c r="O13" i="1" s="1"/>
  <c r="L13" i="1"/>
  <c r="K13" i="1"/>
  <c r="J13" i="1"/>
  <c r="P13" i="1" s="1"/>
  <c r="L12" i="1"/>
  <c r="K12" i="1"/>
  <c r="K18" i="1" s="1"/>
  <c r="K27" i="1" s="1"/>
  <c r="J12" i="1"/>
  <c r="J18" i="1" s="1"/>
  <c r="J27" i="1" s="1"/>
  <c r="G9" i="1"/>
  <c r="F9" i="1"/>
  <c r="L8" i="1"/>
  <c r="K8" i="1"/>
  <c r="J8" i="1"/>
  <c r="O63" i="1" l="1"/>
  <c r="Q63" i="1"/>
  <c r="O45" i="1"/>
  <c r="P45" i="1"/>
  <c r="G108" i="1"/>
  <c r="G118" i="1" s="1"/>
  <c r="G120" i="1" s="1"/>
  <c r="P12" i="1"/>
  <c r="Q42" i="1"/>
  <c r="P80" i="1"/>
  <c r="P100" i="1"/>
  <c r="P101" i="1" s="1"/>
  <c r="O104" i="1"/>
  <c r="O105" i="1" s="1"/>
  <c r="K109" i="1"/>
  <c r="Q33" i="1"/>
  <c r="Q31" i="1" s="1"/>
  <c r="M31" i="1"/>
  <c r="Q39" i="1"/>
  <c r="Q51" i="1"/>
  <c r="Q60" i="1"/>
  <c r="Q71" i="1"/>
  <c r="P105" i="1"/>
  <c r="N71" i="1"/>
  <c r="O71" i="1" s="1"/>
  <c r="Q84" i="1"/>
  <c r="Q30" i="1"/>
  <c r="N55" i="1"/>
  <c r="O55" i="1" s="1"/>
  <c r="M67" i="1"/>
  <c r="Q85" i="1"/>
  <c r="P94" i="1"/>
  <c r="O61" i="1"/>
  <c r="Q61" i="1" s="1"/>
  <c r="L18" i="1"/>
  <c r="L27" i="1" s="1"/>
  <c r="M12" i="1"/>
  <c r="Q16" i="1"/>
  <c r="H16" i="1" s="1"/>
  <c r="P8" i="1"/>
  <c r="P9" i="1" s="1"/>
  <c r="J109" i="1"/>
  <c r="P18" i="1"/>
  <c r="Q90" i="1"/>
  <c r="Q15" i="1"/>
  <c r="H15" i="1" s="1"/>
  <c r="N90" i="1"/>
  <c r="M101" i="1"/>
  <c r="H103" i="1"/>
  <c r="M16" i="1"/>
  <c r="N16" i="1" s="1"/>
  <c r="O16" i="1" s="1"/>
  <c r="P20" i="1"/>
  <c r="P22" i="1" s="1"/>
  <c r="Q24" i="1"/>
  <c r="Q26" i="1" s="1"/>
  <c r="N26" i="1"/>
  <c r="I27" i="1"/>
  <c r="Q41" i="1"/>
  <c r="N56" i="1"/>
  <c r="Q50" i="1"/>
  <c r="H50" i="1" s="1"/>
  <c r="O56" i="1"/>
  <c r="N58" i="1"/>
  <c r="Q62" i="1"/>
  <c r="K80" i="1"/>
  <c r="N101" i="1"/>
  <c r="O99" i="1"/>
  <c r="O101" i="1" s="1"/>
  <c r="Q44" i="1"/>
  <c r="I106" i="1"/>
  <c r="P75" i="1"/>
  <c r="M80" i="1"/>
  <c r="N77" i="1"/>
  <c r="O90" i="1"/>
  <c r="Q97" i="1"/>
  <c r="Q100" i="1"/>
  <c r="H100" i="1" s="1"/>
  <c r="H30" i="1"/>
  <c r="H34" i="1" s="1"/>
  <c r="Q40" i="1"/>
  <c r="L56" i="1"/>
  <c r="Q79" i="1"/>
  <c r="Q13" i="1"/>
  <c r="H13" i="1" s="1"/>
  <c r="Q17" i="1"/>
  <c r="Q37" i="1"/>
  <c r="M8" i="1"/>
  <c r="L9" i="1"/>
  <c r="M9" i="1" s="1"/>
  <c r="M14" i="1"/>
  <c r="N14" i="1" s="1"/>
  <c r="O14" i="1" s="1"/>
  <c r="F107" i="1"/>
  <c r="F108" i="1" s="1"/>
  <c r="F118" i="1" s="1"/>
  <c r="F120" i="1" s="1"/>
  <c r="M20" i="1"/>
  <c r="N45" i="1"/>
  <c r="Q38" i="1"/>
  <c r="Q43" i="1"/>
  <c r="J56" i="1"/>
  <c r="J106" i="1" s="1"/>
  <c r="J107" i="1" s="1"/>
  <c r="P54" i="1"/>
  <c r="P56" i="1" s="1"/>
  <c r="F106" i="1"/>
  <c r="Q74" i="1"/>
  <c r="M72" i="1"/>
  <c r="Q72" i="1" s="1"/>
  <c r="P82" i="1"/>
  <c r="P90" i="1" s="1"/>
  <c r="M90" i="1"/>
  <c r="P97" i="1"/>
  <c r="O97" i="1"/>
  <c r="Q99" i="1"/>
  <c r="K112" i="1"/>
  <c r="K118" i="1" s="1"/>
  <c r="P116" i="1"/>
  <c r="P112" i="1" s="1"/>
  <c r="L116" i="1"/>
  <c r="P24" i="1"/>
  <c r="P26" i="1" s="1"/>
  <c r="Q36" i="1"/>
  <c r="M45" i="1"/>
  <c r="Q64" i="1"/>
  <c r="H64" i="1" s="1"/>
  <c r="H67" i="1" s="1"/>
  <c r="K67" i="1"/>
  <c r="K106" i="1" s="1"/>
  <c r="K107" i="1" s="1"/>
  <c r="L75" i="1"/>
  <c r="Q78" i="1"/>
  <c r="Q104" i="1"/>
  <c r="H104" i="1" s="1"/>
  <c r="M70" i="1"/>
  <c r="P106" i="1" l="1"/>
  <c r="H105" i="1"/>
  <c r="L106" i="1"/>
  <c r="L107" i="1" s="1"/>
  <c r="L108" i="1" s="1"/>
  <c r="L118" i="1" s="1"/>
  <c r="Q55" i="1"/>
  <c r="Q101" i="1"/>
  <c r="H99" i="1"/>
  <c r="H101" i="1" s="1"/>
  <c r="H17" i="1"/>
  <c r="I107" i="1"/>
  <c r="Q14" i="1"/>
  <c r="H14" i="1" s="1"/>
  <c r="I109" i="1"/>
  <c r="I110" i="1" s="1"/>
  <c r="J110" i="1" s="1"/>
  <c r="K110" i="1" s="1"/>
  <c r="M34" i="1"/>
  <c r="N20" i="1"/>
  <c r="M22" i="1"/>
  <c r="L112" i="1"/>
  <c r="Q116" i="1"/>
  <c r="N8" i="1"/>
  <c r="Q105" i="1"/>
  <c r="M75" i="1"/>
  <c r="M106" i="1" s="1"/>
  <c r="N70" i="1"/>
  <c r="Q45" i="1"/>
  <c r="O77" i="1"/>
  <c r="O80" i="1" s="1"/>
  <c r="N80" i="1"/>
  <c r="O58" i="1"/>
  <c r="N67" i="1"/>
  <c r="P27" i="1"/>
  <c r="P107" i="1" s="1"/>
  <c r="M18" i="1"/>
  <c r="M27" i="1" s="1"/>
  <c r="N12" i="1"/>
  <c r="H55" i="1" l="1"/>
  <c r="H56" i="1" s="1"/>
  <c r="Q56" i="1"/>
  <c r="N18" i="1"/>
  <c r="O12" i="1"/>
  <c r="O18" i="1" s="1"/>
  <c r="O67" i="1"/>
  <c r="Q58" i="1"/>
  <c r="Q67" i="1" s="1"/>
  <c r="N34" i="1"/>
  <c r="O34" i="1"/>
  <c r="Q77" i="1"/>
  <c r="Q80" i="1" s="1"/>
  <c r="N9" i="1"/>
  <c r="O8" i="1"/>
  <c r="Q8" i="1" s="1"/>
  <c r="P108" i="1"/>
  <c r="H116" i="1"/>
  <c r="H112" i="1" s="1"/>
  <c r="Q112" i="1"/>
  <c r="N22" i="1"/>
  <c r="O20" i="1"/>
  <c r="O22" i="1" s="1"/>
  <c r="M107" i="1"/>
  <c r="M108" i="1" s="1"/>
  <c r="M118" i="1" s="1"/>
  <c r="M120" i="1" s="1"/>
  <c r="N75" i="1"/>
  <c r="N106" i="1" s="1"/>
  <c r="O70" i="1"/>
  <c r="O75" i="1" s="1"/>
  <c r="M109" i="1"/>
  <c r="L109" i="1"/>
  <c r="L110" i="1" s="1"/>
  <c r="O27" i="1" l="1"/>
  <c r="Q34" i="1"/>
  <c r="Q70" i="1"/>
  <c r="P118" i="1"/>
  <c r="P120" i="1" s="1"/>
  <c r="P109" i="1"/>
  <c r="N27" i="1"/>
  <c r="N107" i="1" s="1"/>
  <c r="N108" i="1" s="1"/>
  <c r="N118" i="1" s="1"/>
  <c r="N120" i="1" s="1"/>
  <c r="H8" i="1"/>
  <c r="Q9" i="1"/>
  <c r="H9" i="1" s="1"/>
  <c r="O106" i="1"/>
  <c r="O107" i="1" s="1"/>
  <c r="O108" i="1" s="1"/>
  <c r="O118" i="1" s="1"/>
  <c r="O120" i="1" s="1"/>
  <c r="Q20" i="1"/>
  <c r="M110" i="1"/>
  <c r="O9" i="1"/>
  <c r="Q12" i="1"/>
  <c r="O109" i="1" l="1"/>
  <c r="Q75" i="1"/>
  <c r="Q106" i="1" s="1"/>
  <c r="H70" i="1"/>
  <c r="H75" i="1" s="1"/>
  <c r="H106" i="1" s="1"/>
  <c r="H119" i="1" s="1"/>
  <c r="L119" i="1" s="1"/>
  <c r="H12" i="1"/>
  <c r="H18" i="1" s="1"/>
  <c r="H27" i="1" s="1"/>
  <c r="H107" i="1" s="1"/>
  <c r="H108" i="1" s="1"/>
  <c r="H118" i="1" s="1"/>
  <c r="H120" i="1" s="1"/>
  <c r="Q18" i="1"/>
  <c r="H20" i="1"/>
  <c r="H22" i="1" s="1"/>
  <c r="Q22" i="1"/>
  <c r="N109" i="1"/>
  <c r="N110" i="1" s="1"/>
  <c r="Q119" i="1" l="1"/>
  <c r="L120" i="1"/>
  <c r="Q108" i="1"/>
  <c r="S108" i="1" s="1"/>
  <c r="O110" i="1"/>
  <c r="Q27" i="1"/>
  <c r="Q107" i="1"/>
  <c r="Q109" i="1" l="1"/>
  <c r="Q118" i="1"/>
  <c r="Q120" i="1" s="1"/>
</calcChain>
</file>

<file path=xl/sharedStrings.xml><?xml version="1.0" encoding="utf-8"?>
<sst xmlns="http://schemas.openxmlformats.org/spreadsheetml/2006/main" count="274" uniqueCount="246">
  <si>
    <t xml:space="preserve"> PIREDD MAI NDOMBE </t>
  </si>
  <si>
    <t>PROJECT ID: P162837</t>
  </si>
  <si>
    <t>PLAN DE TRAVAIL ET BUDGET ANNUEL 2019</t>
  </si>
  <si>
    <t>Commentaires sur Budget 2019</t>
  </si>
  <si>
    <t>Budget intial en MD $US</t>
  </si>
  <si>
    <t>Solde au 31  décembre 2018</t>
  </si>
  <si>
    <t>Allocation 2019</t>
  </si>
  <si>
    <t>2018-T2
(sur 1 mois)</t>
  </si>
  <si>
    <t>2018-T2</t>
  </si>
  <si>
    <t>2018-T3</t>
  </si>
  <si>
    <t>2019-T1</t>
  </si>
  <si>
    <t>2019-T2</t>
  </si>
  <si>
    <t>2019-T3</t>
  </si>
  <si>
    <t>2019-T4</t>
  </si>
  <si>
    <t>2018-Total 7 mois</t>
  </si>
  <si>
    <t>2019-Total 12 mois</t>
  </si>
  <si>
    <t>Rémunération MOD</t>
  </si>
  <si>
    <t>Rémunération du MOD</t>
  </si>
  <si>
    <t xml:space="preserve">Sous total Rémunération </t>
  </si>
  <si>
    <t>I</t>
  </si>
  <si>
    <t xml:space="preserve">Ressources humaines </t>
  </si>
  <si>
    <t>A</t>
  </si>
  <si>
    <t xml:space="preserve">Personnel opérationnel </t>
  </si>
  <si>
    <t>A1</t>
  </si>
  <si>
    <t>Chef de base territoire (Inongo, Kiri, Kutu, Oshwe)</t>
  </si>
  <si>
    <t>les 4 Unités Opérationnelles des 4 Territoires ouvertes et son personnel sous contrat</t>
  </si>
  <si>
    <t>A2</t>
  </si>
  <si>
    <t>Animateur d'appui à la structuration du milieu, secrétaire exécutif CARTs de territoire</t>
  </si>
  <si>
    <t>A3</t>
  </si>
  <si>
    <t>Ingénieurs TP</t>
  </si>
  <si>
    <t>A4</t>
  </si>
  <si>
    <t>Agro-forestier de territoire</t>
  </si>
  <si>
    <t>A5</t>
  </si>
  <si>
    <t>Responsables pêche de territoire</t>
  </si>
  <si>
    <t>A6</t>
  </si>
  <si>
    <t>Responsables de territoire MRV, PSE, Suivi évaluation</t>
  </si>
  <si>
    <t>Sous total Personnel opérationnel</t>
  </si>
  <si>
    <t>B</t>
  </si>
  <si>
    <t xml:space="preserve">Personnel d'appui </t>
  </si>
  <si>
    <t>B1</t>
  </si>
  <si>
    <t xml:space="preserve">Pilote du canot rapide </t>
  </si>
  <si>
    <t>2 Pilotes recrutés</t>
  </si>
  <si>
    <t>B2</t>
  </si>
  <si>
    <t>Chauffeurs tracteurs</t>
  </si>
  <si>
    <t>Neant</t>
  </si>
  <si>
    <t>Sous total Personnel d'appui</t>
  </si>
  <si>
    <t>C</t>
  </si>
  <si>
    <t xml:space="preserve">Per diem et primes </t>
  </si>
  <si>
    <t>C1</t>
  </si>
  <si>
    <t>prime mensuelle de déplacement du personnel de territoire</t>
  </si>
  <si>
    <t>C2</t>
  </si>
  <si>
    <t>per diem des chauffeurs et pilotes 18 jours par mois sur 31 mois</t>
  </si>
  <si>
    <t>Sous total Perdiem et primes</t>
  </si>
  <si>
    <t>TOTAL RESSOURCES HUMAINES</t>
  </si>
  <si>
    <t>II</t>
  </si>
  <si>
    <t xml:space="preserve">Transport aérien </t>
  </si>
  <si>
    <t>III</t>
  </si>
  <si>
    <t>D</t>
  </si>
  <si>
    <t xml:space="preserve">Equipements </t>
  </si>
  <si>
    <t>D9</t>
  </si>
  <si>
    <t>INVEST</t>
  </si>
  <si>
    <t>achat et installation d'équipements internet VSAT</t>
  </si>
  <si>
    <t>pour 2 Unités Opérationnelles Supplémentaires</t>
  </si>
  <si>
    <t>D10</t>
  </si>
  <si>
    <t>construction des bureaux du projet pour Inongo, Kiri et Oswhe</t>
  </si>
  <si>
    <t>Constructuion des 3 bureaux sur les Bases de Inongo, Kiri, Oshwe</t>
  </si>
  <si>
    <t>D10,1</t>
  </si>
  <si>
    <t xml:space="preserve">Etudes architecturales </t>
  </si>
  <si>
    <t>D10,2</t>
  </si>
  <si>
    <t xml:space="preserve">Travaux de construction </t>
  </si>
  <si>
    <t>TOTAL EQUIPEMENTS</t>
  </si>
  <si>
    <t>IV</t>
  </si>
  <si>
    <t>E</t>
  </si>
  <si>
    <t>Fonctionnement projet</t>
  </si>
  <si>
    <t>E1</t>
  </si>
  <si>
    <t>loyer base Kinshasa</t>
  </si>
  <si>
    <t>E2</t>
  </si>
  <si>
    <t>loyer base Nioki</t>
  </si>
  <si>
    <t>E3</t>
  </si>
  <si>
    <t>loyer base territoire Kutu</t>
  </si>
  <si>
    <t>E4</t>
  </si>
  <si>
    <t xml:space="preserve">fonctionnement voitures </t>
  </si>
  <si>
    <t>E6</t>
  </si>
  <si>
    <t>fonctionnement moto</t>
  </si>
  <si>
    <t>E7</t>
  </si>
  <si>
    <t>fonctionnement des canots rapides</t>
  </si>
  <si>
    <t>E8</t>
  </si>
  <si>
    <t xml:space="preserve">fonctionnement bureau </t>
  </si>
  <si>
    <t>E9</t>
  </si>
  <si>
    <t xml:space="preserve">communication téléphoniques </t>
  </si>
  <si>
    <t>E10</t>
  </si>
  <si>
    <t>internet (Kinshasa, 4 bases territoires, base Nioki)</t>
  </si>
  <si>
    <t>abonnement pour 4 bases pour 1 an</t>
  </si>
  <si>
    <t>TOTAL FONCTIONNEMENT DE PROJET</t>
  </si>
  <si>
    <t>V</t>
  </si>
  <si>
    <t>F</t>
  </si>
  <si>
    <t>Mise en œuvre des activités</t>
  </si>
  <si>
    <t xml:space="preserve">Gouvernance des ressources naturelles du 4 Territoires </t>
  </si>
  <si>
    <t>FA1</t>
  </si>
  <si>
    <t>ateliers des plans de secteur ou groupement (dans les cas de grands groupements)</t>
  </si>
  <si>
    <t>Organisation des ateliers selon programmation</t>
  </si>
  <si>
    <t>FA2</t>
  </si>
  <si>
    <t>ateliers des plans de territoire actualisés tous les deux ans</t>
  </si>
  <si>
    <t>FA3</t>
  </si>
  <si>
    <t>ateliers du plan de la Province actualisé tous les deux ans</t>
  </si>
  <si>
    <t>FA4</t>
  </si>
  <si>
    <t xml:space="preserve">réunions des CARTs de territoire 1/4 mois </t>
  </si>
  <si>
    <t>FA5</t>
  </si>
  <si>
    <t>réunion des CARTs de secteur 1/4 mois</t>
  </si>
  <si>
    <t>FA6</t>
  </si>
  <si>
    <t>formations des juges de paix et des agents du cadastre</t>
  </si>
  <si>
    <t>FA7</t>
  </si>
  <si>
    <t>Réunions de large information au chef lieu provincial (une par an)</t>
  </si>
  <si>
    <t>FA8</t>
  </si>
  <si>
    <t>contrats avec les radios communautaires</t>
  </si>
  <si>
    <t xml:space="preserve">Sous total Gouvernance des ressources naturelles du 4 Territoires </t>
  </si>
  <si>
    <t>FB</t>
  </si>
  <si>
    <t>Renforcement des capacités des services techniques déconcentrés</t>
  </si>
  <si>
    <t>FB1</t>
  </si>
  <si>
    <t>motivation des agents de contrôle forestier, 5 par territoire</t>
  </si>
  <si>
    <t>FB3</t>
  </si>
  <si>
    <t>appui logistique au Conseil Provincial des Forêts   (1 par an)</t>
  </si>
  <si>
    <t>FB4</t>
  </si>
  <si>
    <t>Agriculture :  motivation des agents sélectionnés pour réalisation des activités de vulgarisation. 5 agents par territoire</t>
  </si>
  <si>
    <t>FB5</t>
  </si>
  <si>
    <t>Affaires foncières motivation  des agents sélectionnés pour réalisation des objectifs fonciers des plans. 1 agent par territoire</t>
  </si>
  <si>
    <t>FB6</t>
  </si>
  <si>
    <t>Intérieur : motivation des AT et chefs de secteur pour la réalisation et le suivi évaluation des contrats de PDD</t>
  </si>
  <si>
    <t>FB7</t>
  </si>
  <si>
    <t>suivi évaluation par les directions provinciales des ST décentralisés (Coordination environnement, inspection provinciale agriculture…)</t>
  </si>
  <si>
    <t>FB8</t>
  </si>
  <si>
    <t>achat d'équipements divers pour les services techniques (papèterie, matériel de bureau, vélos...)</t>
  </si>
  <si>
    <t>FB9</t>
  </si>
  <si>
    <t>achat de moteurs hors-bords pour pirogues du Minagri pour suivi des contrats de pêche (15 CV) 2 par territoire</t>
  </si>
  <si>
    <t>prévu en T3</t>
  </si>
  <si>
    <t>FB10</t>
  </si>
  <si>
    <t>fonctionnement annuel des hors-bords (2 tournées par an)</t>
  </si>
  <si>
    <t>Sous total Renforcement des capacités des services techniques déconcentrés</t>
  </si>
  <si>
    <t>FC</t>
  </si>
  <si>
    <t>Réalisation des investissements structurants</t>
  </si>
  <si>
    <t>Ancien District du Mai-Ndombe</t>
  </si>
  <si>
    <t>FC1</t>
  </si>
  <si>
    <t>SOUS-TRAITANCE</t>
  </si>
  <si>
    <t>entretien des routes à 400 dollars par an soit 33 dollars/km/mois , 500 km de points chauds</t>
  </si>
  <si>
    <t>100 km dt identifié 40 km axe Ntatambelo / Nselenge</t>
  </si>
  <si>
    <t>FC2</t>
  </si>
  <si>
    <t xml:space="preserve">construction de ponts </t>
  </si>
  <si>
    <t>FC6</t>
  </si>
  <si>
    <t>bac de Lediba</t>
  </si>
  <si>
    <t>Construction du bac</t>
  </si>
  <si>
    <t>FC6.1</t>
  </si>
  <si>
    <t>Etudes architecturales et techniques (contrat office de route)</t>
  </si>
  <si>
    <t>FC6.2</t>
  </si>
  <si>
    <t xml:space="preserve">Acquisition Bac </t>
  </si>
  <si>
    <t>Sous total Réalisation des investissements structurants</t>
  </si>
  <si>
    <t>FD</t>
  </si>
  <si>
    <t>Aide aux CLD à planifier la meilleure gestion des Ressources naturelles</t>
  </si>
  <si>
    <t>FD1</t>
  </si>
  <si>
    <t>APPUI</t>
  </si>
  <si>
    <t>contrats avec ONG pour création ou renforcement des CLD et réalisation des PDD</t>
  </si>
  <si>
    <t>FD2</t>
  </si>
  <si>
    <t>frais d'atelier de programmation et de suivi évaluation des PDD de CLD</t>
  </si>
  <si>
    <t>FD3</t>
  </si>
  <si>
    <t xml:space="preserve">enregistrement des statuts, des plans, des contrats </t>
  </si>
  <si>
    <t>Sous total Aide aux CLD à planifier la meilleure gestion des Ressources naturelles</t>
  </si>
  <si>
    <t>FE</t>
  </si>
  <si>
    <t>Appui aux investissements des PDD de CLD et à la recherche développement</t>
  </si>
  <si>
    <t>FE1</t>
  </si>
  <si>
    <t>contrats ONG appui technique sectoriel 3 par territoire, 3 ans : pêche, agriculture, foret</t>
  </si>
  <si>
    <t>selon programmation</t>
  </si>
  <si>
    <t>FE2</t>
  </si>
  <si>
    <t>équipement des pépinières agroforestières de CLD (râteaux, brouettes…) pour 600 pépinières</t>
  </si>
  <si>
    <t>FE3</t>
  </si>
  <si>
    <t>achat de semences pour les pépinières agroforestières une pour deux villages</t>
  </si>
  <si>
    <t>FE4</t>
  </si>
  <si>
    <t>création de parcs à bois manioc tous les CLD (y compris achat bouture) 1/2 ha par CLD</t>
  </si>
  <si>
    <t>FE5</t>
  </si>
  <si>
    <t>achat de semences de maïs amélioré pour 1/2 ha de champ de multiplication</t>
  </si>
  <si>
    <t>FE6</t>
  </si>
  <si>
    <t>mise en place de la cogestion de la pêche responsable</t>
  </si>
  <si>
    <t>FE7</t>
  </si>
  <si>
    <t>appuis aux organisations de pêcheurs</t>
  </si>
  <si>
    <t>FE8</t>
  </si>
  <si>
    <t>autres investissements programmés par les PDD</t>
  </si>
  <si>
    <t>Sous total Appui aux investissements des PDD de CLD et à la recherche développement</t>
  </si>
  <si>
    <t>FF</t>
  </si>
  <si>
    <t>Contrats pour paiement au Résultat</t>
  </si>
  <si>
    <t>FF1</t>
  </si>
  <si>
    <t>Développement de l'agriculture en savane (Modèle 1)</t>
  </si>
  <si>
    <t>FF2</t>
  </si>
  <si>
    <t>Développement de l'agriculture en savane (Modèle 2)</t>
  </si>
  <si>
    <t>pépeniere pour 700 ha d'acacia</t>
  </si>
  <si>
    <t>FF3</t>
  </si>
  <si>
    <t>Développement de l'agriculture en savane (Modèle 3)</t>
  </si>
  <si>
    <t>achat de graines pour 600 ha de plantation de palmier à huile</t>
  </si>
  <si>
    <t>FF4</t>
  </si>
  <si>
    <t>Développement des cultures pérennes en alternative aux cultures vivrières sur jachère brulis</t>
  </si>
  <si>
    <t>FF5</t>
  </si>
  <si>
    <t>Mise en défens de forêts a haute valeur de conservation</t>
  </si>
  <si>
    <t>Sous total Contrats pour paiement au Résultat</t>
  </si>
  <si>
    <t>FG</t>
  </si>
  <si>
    <t>Soutien au développement de filières (café, cacao, hévéa, huile de palme)</t>
  </si>
  <si>
    <t>FG1</t>
  </si>
  <si>
    <t xml:space="preserve">aval des filières dont appui aux commerçants et équipements </t>
  </si>
  <si>
    <t xml:space="preserve">Premiers appui </t>
  </si>
  <si>
    <t>FG2</t>
  </si>
  <si>
    <t>Assistance technique à l'animation de filière</t>
  </si>
  <si>
    <t>Etude Filères et suivi</t>
  </si>
  <si>
    <t>Sous total Soutien au développement de filières (café, cacao, hévéa, huile de palme)</t>
  </si>
  <si>
    <t>FI</t>
  </si>
  <si>
    <t>Plan pour les Peuples Autochtones</t>
  </si>
  <si>
    <t>FI1</t>
  </si>
  <si>
    <t>Consultation pour identifier les priorités des PDPAs existants</t>
  </si>
  <si>
    <t>Contrat suivi des micro-projet</t>
  </si>
  <si>
    <t>FI2</t>
  </si>
  <si>
    <t>Réalisation de micro-projets</t>
  </si>
  <si>
    <t>Sous total Plan pour les Peuples Autochtones</t>
  </si>
  <si>
    <t>TOTAL ACTIVITES</t>
  </si>
  <si>
    <t>Total MOD</t>
  </si>
  <si>
    <t>VII</t>
  </si>
  <si>
    <t>Total coûts éligibles (Total ALE)</t>
  </si>
  <si>
    <t>X</t>
  </si>
  <si>
    <t>TOTAL ALE</t>
  </si>
  <si>
    <t>Par trimestre</t>
  </si>
  <si>
    <t>Cumulatif par trimestre</t>
  </si>
  <si>
    <t>G</t>
  </si>
  <si>
    <t>Supervision et suivi évaluations réalisées par l'UC-PIF</t>
  </si>
  <si>
    <t>G1</t>
  </si>
  <si>
    <t>Renforcement de l'UC-PIF avec un expert SE</t>
  </si>
  <si>
    <t>Expert SE pris en charge par le PIREDD MBKIS. Ligne budgétaire diminuée de 32 500 USD imputés à la nouvelle ligne G2</t>
  </si>
  <si>
    <t>G2</t>
  </si>
  <si>
    <t>Renforcement de l'UC-PIF avec un comptable</t>
  </si>
  <si>
    <t>Prise en charge de comptable Patrick Tedika (NO du 13/11/18)</t>
  </si>
  <si>
    <t>G4</t>
  </si>
  <si>
    <t>Perdiem et frais de déplacement de suivi évaluation (une mission de terrain tous les six mois)</t>
  </si>
  <si>
    <t>2 missions de suivi technique</t>
  </si>
  <si>
    <t>G5</t>
  </si>
  <si>
    <t>Réunions du Comité de pilotage du Projet</t>
  </si>
  <si>
    <t>Pour les coûts imhérents à l'UC-PIF, le COPIL de jullet est pris en charge par le projet parent. Celui de fin d'année par le PIREDD MNB</t>
  </si>
  <si>
    <t>G7</t>
  </si>
  <si>
    <t>Ateliers, formations, éditions, etc. (Réserve)</t>
  </si>
  <si>
    <t>pour réserve ateliers, formations, éditions</t>
  </si>
  <si>
    <t>SOUS TOTAL ALE + PIF</t>
  </si>
  <si>
    <t>H</t>
  </si>
  <si>
    <t>Imprévus sur total coûts éligibles (4%)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</si>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</sst>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8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0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vertical="center" wrapText="1"/>
    </xf>
    <xf numFmtId="164" fontId="11" fillId="5" borderId="13" xfId="1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64" fontId="9" fillId="5" borderId="15" xfId="1" applyNumberFormat="1" applyFont="1" applyFill="1" applyBorder="1" applyAlignment="1">
      <alignment horizontal="center" vertical="center" wrapText="1"/>
    </xf>
    <xf numFmtId="164" fontId="11" fillId="5" borderId="16" xfId="1" applyNumberFormat="1" applyFont="1" applyFill="1" applyBorder="1" applyAlignment="1">
      <alignment vertical="center"/>
    </xf>
    <xf numFmtId="164" fontId="11" fillId="5" borderId="12" xfId="1" applyNumberFormat="1" applyFont="1" applyFill="1" applyBorder="1" applyAlignment="1">
      <alignment vertical="center"/>
    </xf>
    <xf numFmtId="164" fontId="11" fillId="5" borderId="13" xfId="1" applyNumberFormat="1" applyFont="1" applyFill="1" applyBorder="1" applyAlignment="1">
      <alignment vertical="center"/>
    </xf>
    <xf numFmtId="164" fontId="11" fillId="5" borderId="17" xfId="1" applyNumberFormat="1" applyFont="1" applyFill="1" applyBorder="1" applyAlignment="1">
      <alignment vertical="center"/>
    </xf>
    <xf numFmtId="164" fontId="11" fillId="5" borderId="15" xfId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/>
    </xf>
    <xf numFmtId="164" fontId="11" fillId="0" borderId="16" xfId="1" applyNumberFormat="1" applyFont="1" applyFill="1" applyBorder="1" applyAlignment="1">
      <alignment vertical="center"/>
    </xf>
    <xf numFmtId="164" fontId="11" fillId="0" borderId="12" xfId="1" applyNumberFormat="1" applyFont="1" applyFill="1" applyBorder="1" applyAlignment="1">
      <alignment vertical="center"/>
    </xf>
    <xf numFmtId="164" fontId="11" fillId="0" borderId="13" xfId="1" applyNumberFormat="1" applyFont="1" applyFill="1" applyBorder="1" applyAlignment="1">
      <alignment vertical="center"/>
    </xf>
    <xf numFmtId="164" fontId="11" fillId="0" borderId="17" xfId="1" applyNumberFormat="1" applyFont="1" applyFill="1" applyBorder="1" applyAlignment="1">
      <alignment vertical="center"/>
    </xf>
    <xf numFmtId="164" fontId="11" fillId="0" borderId="15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12" fillId="0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164" fontId="11" fillId="3" borderId="13" xfId="1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13" fillId="3" borderId="21" xfId="1" applyNumberFormat="1" applyFont="1" applyFill="1" applyBorder="1" applyAlignment="1">
      <alignment horizontal="center" vertical="center"/>
    </xf>
    <xf numFmtId="164" fontId="11" fillId="3" borderId="11" xfId="1" applyNumberFormat="1" applyFont="1" applyFill="1" applyBorder="1" applyAlignment="1">
      <alignment vertical="center"/>
    </xf>
    <xf numFmtId="164" fontId="11" fillId="3" borderId="18" xfId="1" applyNumberFormat="1" applyFont="1" applyFill="1" applyBorder="1" applyAlignment="1">
      <alignment vertical="center"/>
    </xf>
    <xf numFmtId="164" fontId="11" fillId="3" borderId="13" xfId="1" applyNumberFormat="1" applyFont="1" applyFill="1" applyBorder="1" applyAlignment="1">
      <alignment vertical="center"/>
    </xf>
    <xf numFmtId="164" fontId="13" fillId="3" borderId="21" xfId="1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vertical="center" wrapText="1"/>
    </xf>
    <xf numFmtId="164" fontId="11" fillId="5" borderId="0" xfId="1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64" fontId="9" fillId="5" borderId="21" xfId="1" applyNumberFormat="1" applyFont="1" applyFill="1" applyBorder="1" applyAlignment="1">
      <alignment horizontal="center" vertical="center" wrapText="1"/>
    </xf>
    <xf numFmtId="164" fontId="11" fillId="5" borderId="11" xfId="1" applyNumberFormat="1" applyFont="1" applyFill="1" applyBorder="1" applyAlignment="1">
      <alignment vertical="center"/>
    </xf>
    <xf numFmtId="164" fontId="11" fillId="5" borderId="18" xfId="1" applyNumberFormat="1" applyFont="1" applyFill="1" applyBorder="1" applyAlignment="1">
      <alignment vertical="center"/>
    </xf>
    <xf numFmtId="164" fontId="11" fillId="5" borderId="21" xfId="1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3" fontId="11" fillId="0" borderId="15" xfId="1" applyNumberFormat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vertical="center"/>
    </xf>
    <xf numFmtId="164" fontId="11" fillId="0" borderId="12" xfId="1" applyNumberFormat="1" applyFont="1" applyBorder="1" applyAlignment="1">
      <alignment vertical="center"/>
    </xf>
    <xf numFmtId="164" fontId="11" fillId="0" borderId="13" xfId="1" applyNumberFormat="1" applyFont="1" applyBorder="1" applyAlignment="1">
      <alignment vertical="center"/>
    </xf>
    <xf numFmtId="164" fontId="11" fillId="0" borderId="17" xfId="1" applyNumberFormat="1" applyFont="1" applyBorder="1" applyAlignment="1">
      <alignment vertical="center"/>
    </xf>
    <xf numFmtId="164" fontId="11" fillId="0" borderId="15" xfId="1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3" fontId="11" fillId="6" borderId="15" xfId="1" applyNumberFormat="1" applyFont="1" applyFill="1" applyBorder="1" applyAlignment="1">
      <alignment horizontal="center" vertical="center"/>
    </xf>
    <xf numFmtId="165" fontId="11" fillId="0" borderId="16" xfId="1" applyNumberFormat="1" applyFont="1" applyBorder="1" applyAlignment="1">
      <alignment horizontal="center" vertical="center"/>
    </xf>
    <xf numFmtId="165" fontId="11" fillId="0" borderId="12" xfId="1" applyNumberFormat="1" applyFont="1" applyBorder="1" applyAlignment="1">
      <alignment horizontal="center" vertical="center"/>
    </xf>
    <xf numFmtId="165" fontId="11" fillId="0" borderId="13" xfId="1" applyNumberFormat="1" applyFont="1" applyBorder="1" applyAlignment="1">
      <alignment horizontal="center" vertical="center"/>
    </xf>
    <xf numFmtId="165" fontId="11" fillId="0" borderId="17" xfId="1" applyNumberFormat="1" applyFont="1" applyBorder="1" applyAlignment="1">
      <alignment horizontal="center" vertical="center"/>
    </xf>
    <xf numFmtId="165" fontId="11" fillId="0" borderId="15" xfId="1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164" fontId="11" fillId="5" borderId="14" xfId="1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165" fontId="8" fillId="5" borderId="15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165" fontId="11" fillId="0" borderId="12" xfId="1" applyNumberFormat="1" applyFont="1" applyFill="1" applyBorder="1" applyAlignment="1">
      <alignment horizontal="center" vertical="center"/>
    </xf>
    <xf numFmtId="3" fontId="11" fillId="5" borderId="15" xfId="1" applyNumberFormat="1" applyFont="1" applyFill="1" applyBorder="1" applyAlignment="1">
      <alignment horizontal="center" vertical="center"/>
    </xf>
    <xf numFmtId="165" fontId="11" fillId="5" borderId="16" xfId="1" applyNumberFormat="1" applyFont="1" applyFill="1" applyBorder="1" applyAlignment="1">
      <alignment horizontal="center" vertical="center"/>
    </xf>
    <xf numFmtId="165" fontId="11" fillId="5" borderId="12" xfId="1" applyNumberFormat="1" applyFont="1" applyFill="1" applyBorder="1" applyAlignment="1">
      <alignment horizontal="center" vertical="center"/>
    </xf>
    <xf numFmtId="165" fontId="11" fillId="5" borderId="13" xfId="1" applyNumberFormat="1" applyFont="1" applyFill="1" applyBorder="1" applyAlignment="1">
      <alignment horizontal="center" vertical="center"/>
    </xf>
    <xf numFmtId="165" fontId="11" fillId="5" borderId="17" xfId="1" applyNumberFormat="1" applyFont="1" applyFill="1" applyBorder="1" applyAlignment="1">
      <alignment horizontal="center" vertical="center"/>
    </xf>
    <xf numFmtId="165" fontId="11" fillId="5" borderId="15" xfId="1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164" fontId="11" fillId="4" borderId="14" xfId="1" applyNumberFormat="1" applyFont="1" applyFill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center" vertical="center" wrapText="1"/>
    </xf>
    <xf numFmtId="165" fontId="8" fillId="4" borderId="15" xfId="1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9" fillId="5" borderId="19" xfId="0" applyNumberFormat="1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 wrapText="1"/>
    </xf>
    <xf numFmtId="3" fontId="9" fillId="5" borderId="15" xfId="1" applyNumberFormat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vertical="center" wrapText="1"/>
    </xf>
    <xf numFmtId="164" fontId="11" fillId="8" borderId="14" xfId="1" applyNumberFormat="1" applyFont="1" applyFill="1" applyBorder="1" applyAlignment="1">
      <alignment horizontal="center" vertical="center" wrapText="1"/>
    </xf>
    <xf numFmtId="3" fontId="8" fillId="8" borderId="19" xfId="0" applyNumberFormat="1" applyFont="1" applyFill="1" applyBorder="1" applyAlignment="1">
      <alignment horizontal="center" vertical="center" wrapText="1"/>
    </xf>
    <xf numFmtId="165" fontId="8" fillId="8" borderId="15" xfId="1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3" fontId="8" fillId="5" borderId="15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165" fontId="11" fillId="9" borderId="16" xfId="1" applyNumberFormat="1" applyFont="1" applyFill="1" applyBorder="1" applyAlignment="1">
      <alignment horizontal="center" vertical="center"/>
    </xf>
    <xf numFmtId="165" fontId="11" fillId="9" borderId="12" xfId="1" applyNumberFormat="1" applyFont="1" applyFill="1" applyBorder="1" applyAlignment="1">
      <alignment horizontal="center" vertical="center"/>
    </xf>
    <xf numFmtId="165" fontId="11" fillId="9" borderId="13" xfId="1" applyNumberFormat="1" applyFont="1" applyFill="1" applyBorder="1" applyAlignment="1">
      <alignment horizontal="center" vertical="center"/>
    </xf>
    <xf numFmtId="165" fontId="11" fillId="9" borderId="17" xfId="1" applyNumberFormat="1" applyFont="1" applyFill="1" applyBorder="1" applyAlignment="1">
      <alignment horizontal="center" vertical="center"/>
    </xf>
    <xf numFmtId="165" fontId="11" fillId="9" borderId="15" xfId="1" applyNumberFormat="1" applyFont="1" applyFill="1" applyBorder="1" applyAlignment="1">
      <alignment horizontal="center" vertical="center"/>
    </xf>
    <xf numFmtId="0" fontId="0" fillId="9" borderId="12" xfId="0" applyFill="1" applyBorder="1" applyAlignment="1">
      <alignment vertical="center"/>
    </xf>
    <xf numFmtId="164" fontId="0" fillId="9" borderId="12" xfId="1" applyNumberFormat="1" applyFont="1" applyFill="1" applyBorder="1" applyAlignment="1">
      <alignment vertical="center"/>
    </xf>
    <xf numFmtId="165" fontId="11" fillId="0" borderId="13" xfId="1" applyNumberFormat="1" applyFont="1" applyFill="1" applyBorder="1" applyAlignment="1">
      <alignment horizontal="center" vertical="center"/>
    </xf>
    <xf numFmtId="165" fontId="11" fillId="0" borderId="17" xfId="1" applyNumberFormat="1" applyFont="1" applyFill="1" applyBorder="1" applyAlignment="1">
      <alignment horizontal="center" vertical="center"/>
    </xf>
    <xf numFmtId="165" fontId="11" fillId="0" borderId="15" xfId="1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3" fontId="8" fillId="6" borderId="15" xfId="1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>
      <alignment horizontal="center" vertical="center"/>
    </xf>
    <xf numFmtId="165" fontId="11" fillId="0" borderId="25" xfId="1" applyNumberFormat="1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1" applyNumberFormat="1" applyFont="1" applyBorder="1" applyAlignment="1">
      <alignment horizontal="center" vertical="center"/>
    </xf>
    <xf numFmtId="165" fontId="11" fillId="0" borderId="25" xfId="1" applyNumberFormat="1" applyFont="1" applyBorder="1" applyAlignment="1">
      <alignment horizontal="center" vertical="center"/>
    </xf>
    <xf numFmtId="3" fontId="13" fillId="5" borderId="19" xfId="0" applyNumberFormat="1" applyFont="1" applyFill="1" applyBorder="1" applyAlignment="1">
      <alignment horizontal="center" vertical="center" wrapText="1"/>
    </xf>
    <xf numFmtId="165" fontId="13" fillId="5" borderId="15" xfId="1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3" fontId="13" fillId="8" borderId="19" xfId="0" applyNumberFormat="1" applyFont="1" applyFill="1" applyBorder="1" applyAlignment="1">
      <alignment horizontal="center" vertical="center" wrapText="1"/>
    </xf>
    <xf numFmtId="165" fontId="13" fillId="8" borderId="15" xfId="1" applyNumberFormat="1" applyFont="1" applyFill="1" applyBorder="1" applyAlignment="1">
      <alignment horizontal="center" vertical="center" wrapText="1"/>
    </xf>
    <xf numFmtId="165" fontId="13" fillId="8" borderId="16" xfId="1" applyNumberFormat="1" applyFont="1" applyFill="1" applyBorder="1" applyAlignment="1">
      <alignment horizontal="center" vertical="center"/>
    </xf>
    <xf numFmtId="165" fontId="11" fillId="8" borderId="16" xfId="1" applyNumberFormat="1" applyFont="1" applyFill="1" applyBorder="1" applyAlignment="1">
      <alignment horizontal="center" vertical="center"/>
    </xf>
    <xf numFmtId="165" fontId="11" fillId="8" borderId="12" xfId="1" applyNumberFormat="1" applyFont="1" applyFill="1" applyBorder="1" applyAlignment="1">
      <alignment horizontal="center" vertical="center"/>
    </xf>
    <xf numFmtId="165" fontId="11" fillId="8" borderId="13" xfId="1" applyNumberFormat="1" applyFont="1" applyFill="1" applyBorder="1" applyAlignment="1">
      <alignment horizontal="center" vertical="center"/>
    </xf>
    <xf numFmtId="165" fontId="11" fillId="8" borderId="19" xfId="1" applyNumberFormat="1" applyFont="1" applyFill="1" applyBorder="1" applyAlignment="1">
      <alignment horizontal="center" vertical="center"/>
    </xf>
    <xf numFmtId="165" fontId="11" fillId="8" borderId="26" xfId="1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164" fontId="11" fillId="4" borderId="29" xfId="1" applyNumberFormat="1" applyFont="1" applyFill="1" applyBorder="1" applyAlignment="1">
      <alignment horizontal="right" vertical="center" wrapText="1"/>
    </xf>
    <xf numFmtId="3" fontId="15" fillId="4" borderId="31" xfId="0" applyNumberFormat="1" applyFont="1" applyFill="1" applyBorder="1" applyAlignment="1">
      <alignment horizontal="center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3" fontId="15" fillId="4" borderId="32" xfId="0" applyNumberFormat="1" applyFont="1" applyFill="1" applyBorder="1" applyAlignment="1">
      <alignment horizontal="center" vertical="center" wrapText="1"/>
    </xf>
    <xf numFmtId="165" fontId="3" fillId="2" borderId="33" xfId="1" applyNumberFormat="1" applyFont="1" applyFill="1" applyBorder="1" applyAlignment="1">
      <alignment horizontal="center" vertical="center"/>
    </xf>
    <xf numFmtId="165" fontId="3" fillId="2" borderId="34" xfId="1" applyNumberFormat="1" applyFont="1" applyFill="1" applyBorder="1" applyAlignment="1">
      <alignment horizontal="center" vertical="center"/>
    </xf>
    <xf numFmtId="165" fontId="3" fillId="2" borderId="35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15" fillId="4" borderId="32" xfId="1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164" fontId="11" fillId="4" borderId="38" xfId="1" applyNumberFormat="1" applyFont="1" applyFill="1" applyBorder="1" applyAlignment="1">
      <alignment horizontal="right" vertical="center" wrapText="1"/>
    </xf>
    <xf numFmtId="3" fontId="15" fillId="4" borderId="40" xfId="0" applyNumberFormat="1" applyFont="1" applyFill="1" applyBorder="1" applyAlignment="1">
      <alignment horizontal="center" vertical="center" wrapText="1"/>
    </xf>
    <xf numFmtId="3" fontId="8" fillId="4" borderId="41" xfId="0" applyNumberFormat="1" applyFont="1" applyFill="1" applyBorder="1" applyAlignment="1">
      <alignment horizontal="center" vertical="center" wrapText="1"/>
    </xf>
    <xf numFmtId="3" fontId="15" fillId="4" borderId="42" xfId="1" applyNumberFormat="1" applyFont="1" applyFill="1" applyBorder="1" applyAlignment="1">
      <alignment horizontal="center" vertical="center" wrapText="1"/>
    </xf>
    <xf numFmtId="165" fontId="3" fillId="2" borderId="43" xfId="1" applyNumberFormat="1" applyFont="1" applyFill="1" applyBorder="1" applyAlignment="1">
      <alignment horizontal="center" vertical="center" wrapText="1"/>
    </xf>
    <xf numFmtId="165" fontId="3" fillId="2" borderId="44" xfId="1" applyNumberFormat="1" applyFont="1" applyFill="1" applyBorder="1" applyAlignment="1">
      <alignment horizontal="center" vertical="center" wrapText="1"/>
    </xf>
    <xf numFmtId="165" fontId="3" fillId="2" borderId="45" xfId="1" applyNumberFormat="1" applyFont="1" applyFill="1" applyBorder="1" applyAlignment="1">
      <alignment horizontal="center" vertical="center" wrapText="1"/>
    </xf>
    <xf numFmtId="165" fontId="15" fillId="4" borderId="42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4" borderId="33" xfId="0" applyFont="1" applyFill="1" applyBorder="1" applyAlignment="1">
      <alignment horizontal="center" vertical="center" wrapText="1"/>
    </xf>
    <xf numFmtId="3" fontId="8" fillId="5" borderId="34" xfId="0" applyNumberFormat="1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vertical="center" wrapText="1"/>
    </xf>
    <xf numFmtId="165" fontId="11" fillId="5" borderId="32" xfId="1" applyNumberFormat="1" applyFont="1" applyFill="1" applyBorder="1" applyAlignment="1">
      <alignment horizontal="center" vertical="center"/>
    </xf>
    <xf numFmtId="3" fontId="8" fillId="5" borderId="31" xfId="0" applyNumberFormat="1" applyFont="1" applyFill="1" applyBorder="1" applyAlignment="1">
      <alignment horizontal="center" vertical="center" wrapText="1"/>
    </xf>
    <xf numFmtId="3" fontId="8" fillId="5" borderId="46" xfId="0" applyNumberFormat="1" applyFont="1" applyFill="1" applyBorder="1" applyAlignment="1">
      <alignment horizontal="center" vertical="center" wrapText="1"/>
    </xf>
    <xf numFmtId="3" fontId="8" fillId="5" borderId="32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164" fontId="11" fillId="0" borderId="15" xfId="1" applyNumberFormat="1" applyFont="1" applyBorder="1" applyAlignment="1">
      <alignment horizontal="left" vertical="center" wrapText="1"/>
    </xf>
    <xf numFmtId="165" fontId="11" fillId="0" borderId="26" xfId="1" applyNumberFormat="1" applyFont="1" applyBorder="1" applyAlignment="1">
      <alignment horizontal="center" vertical="center"/>
    </xf>
    <xf numFmtId="165" fontId="11" fillId="0" borderId="14" xfId="1" applyNumberFormat="1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165" fontId="3" fillId="2" borderId="15" xfId="1" applyNumberFormat="1" applyFont="1" applyFill="1" applyBorder="1" applyAlignment="1">
      <alignment horizontal="center" vertical="center"/>
    </xf>
    <xf numFmtId="3" fontId="15" fillId="4" borderId="19" xfId="0" applyNumberFormat="1" applyFont="1" applyFill="1" applyBorder="1" applyAlignment="1">
      <alignment horizontal="center" vertical="center" wrapText="1"/>
    </xf>
    <xf numFmtId="165" fontId="16" fillId="2" borderId="12" xfId="1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3" fontId="8" fillId="5" borderId="15" xfId="0" applyNumberFormat="1" applyFont="1" applyFill="1" applyBorder="1" applyAlignment="1">
      <alignment horizontal="center" vertical="center" wrapText="1"/>
    </xf>
    <xf numFmtId="165" fontId="11" fillId="5" borderId="26" xfId="1" applyNumberFormat="1" applyFont="1" applyFill="1" applyBorder="1" applyAlignment="1">
      <alignment horizontal="center" vertical="center"/>
    </xf>
    <xf numFmtId="165" fontId="8" fillId="5" borderId="12" xfId="1" applyNumberFormat="1" applyFont="1" applyFill="1" applyBorder="1" applyAlignment="1">
      <alignment horizontal="center" vertical="center" wrapText="1"/>
    </xf>
    <xf numFmtId="165" fontId="11" fillId="5" borderId="14" xfId="1" applyNumberFormat="1" applyFont="1" applyFill="1" applyBorder="1" applyAlignment="1">
      <alignment horizontal="center" vertical="center"/>
    </xf>
    <xf numFmtId="165" fontId="9" fillId="5" borderId="15" xfId="1" applyNumberFormat="1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left" vertical="center" wrapText="1"/>
    </xf>
    <xf numFmtId="165" fontId="3" fillId="2" borderId="42" xfId="1" applyNumberFormat="1" applyFont="1" applyFill="1" applyBorder="1" applyAlignment="1">
      <alignment horizontal="center" vertical="center"/>
    </xf>
    <xf numFmtId="3" fontId="8" fillId="4" borderId="40" xfId="0" applyNumberFormat="1" applyFont="1" applyFill="1" applyBorder="1" applyAlignment="1">
      <alignment horizontal="center" vertical="center" wrapText="1"/>
    </xf>
    <xf numFmtId="165" fontId="3" fillId="2" borderId="47" xfId="1" applyNumberFormat="1" applyFont="1" applyFill="1" applyBorder="1" applyAlignment="1">
      <alignment horizontal="center" vertical="center"/>
    </xf>
    <xf numFmtId="165" fontId="3" fillId="2" borderId="44" xfId="1" applyNumberFormat="1" applyFont="1" applyFill="1" applyBorder="1" applyAlignment="1">
      <alignment horizontal="center" vertical="center"/>
    </xf>
    <xf numFmtId="165" fontId="15" fillId="4" borderId="44" xfId="1" applyNumberFormat="1" applyFont="1" applyFill="1" applyBorder="1" applyAlignment="1">
      <alignment horizontal="center" vertical="center" wrapText="1"/>
    </xf>
    <xf numFmtId="165" fontId="16" fillId="2" borderId="44" xfId="1" applyNumberFormat="1" applyFont="1" applyFill="1" applyBorder="1" applyAlignment="1">
      <alignment horizontal="center" vertical="center"/>
    </xf>
    <xf numFmtId="165" fontId="16" fillId="2" borderId="45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3" fontId="11" fillId="6" borderId="19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13" fillId="4" borderId="42" xfId="0" applyNumberFormat="1" applyFont="1" applyFill="1" applyBorder="1" applyAlignment="1">
      <alignment horizontal="center" vertical="center" wrapText="1"/>
    </xf>
    <xf numFmtId="165" fontId="13" fillId="4" borderId="42" xfId="1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164" fontId="14" fillId="0" borderId="23" xfId="1" applyNumberFormat="1" applyFont="1" applyBorder="1" applyAlignment="1">
      <alignment horizontal="center" vertical="center" wrapText="1"/>
    </xf>
    <xf numFmtId="164" fontId="14" fillId="0" borderId="24" xfId="1" applyNumberFormat="1" applyFont="1" applyBorder="1" applyAlignment="1">
      <alignment horizontal="center" vertical="center" wrapText="1"/>
    </xf>
    <xf numFmtId="164" fontId="14" fillId="0" borderId="21" xfId="1" applyNumberFormat="1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left" vertical="center" wrapText="1"/>
    </xf>
    <xf numFmtId="0" fontId="15" fillId="4" borderId="3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0"/>
  <sheetViews>
    <sheetView tabSelected="1" zoomScale="110" zoomScaleNormal="110" workbookViewId="0">
      <pane xSplit="4" ySplit="6" topLeftCell="E7" activePane="bottomRight" state="frozenSplit"/>
      <selection activeCell="A2" sqref="A2"/>
      <selection pane="topRight" activeCell="K2" sqref="K2"/>
      <selection pane="bottomLeft" activeCell="A15" sqref="A15"/>
      <selection pane="bottomRight" activeCell="F13" sqref="F13"/>
    </sheetView>
  </sheetViews>
  <sheetFormatPr baseColWidth="10" defaultColWidth="7.26953125" defaultRowHeight="14.5" x14ac:dyDescent="0.35"/>
  <cols>
    <col min="1" max="1" width="4.26953125" style="1" hidden="1" customWidth="1"/>
    <col min="2" max="2" width="6.1796875" style="2" customWidth="1"/>
    <col min="3" max="3" width="7.26953125" style="1" customWidth="1"/>
    <col min="4" max="4" width="47" style="1" customWidth="1"/>
    <col min="5" max="5" width="15.453125" style="3" customWidth="1"/>
    <col min="6" max="6" width="10" style="1" customWidth="1"/>
    <col min="7" max="7" width="12.26953125" style="4" customWidth="1"/>
    <col min="8" max="8" width="13.26953125" style="5" customWidth="1"/>
    <col min="9" max="10" width="11.26953125" style="5" hidden="1" customWidth="1"/>
    <col min="11" max="11" width="12.453125" style="5" hidden="1" customWidth="1"/>
    <col min="12" max="12" width="10" style="5" bestFit="1" customWidth="1"/>
    <col min="13" max="13" width="17.1796875" style="5" customWidth="1"/>
    <col min="14" max="15" width="10.26953125" style="5" bestFit="1" customWidth="1"/>
    <col min="16" max="16" width="11.7265625" style="6" hidden="1" customWidth="1"/>
    <col min="17" max="17" width="12.7265625" style="6" customWidth="1"/>
    <col min="18" max="18" width="7.26953125" style="1"/>
    <col min="19" max="19" width="10.1796875" style="1" bestFit="1" customWidth="1"/>
    <col min="20" max="20" width="10" style="1" customWidth="1"/>
    <col min="21" max="21" width="12.7265625" style="1" customWidth="1"/>
    <col min="22" max="23" width="7.26953125" style="1"/>
    <col min="24" max="24" width="9.7265625" style="1" bestFit="1" customWidth="1"/>
    <col min="25" max="16384" width="7.26953125" style="1"/>
  </cols>
  <sheetData>
    <row r="1" spans="1:21" ht="15" thickBot="1" x14ac:dyDescent="0.4"/>
    <row r="2" spans="1:21" ht="21.5" thickBot="1" x14ac:dyDescent="0.4">
      <c r="G2" s="223" t="s">
        <v>0</v>
      </c>
      <c r="H2" s="224"/>
      <c r="I2" s="224"/>
      <c r="J2" s="224"/>
      <c r="K2" s="224"/>
      <c r="L2" s="224"/>
      <c r="M2" s="225"/>
      <c r="N2" s="1"/>
    </row>
    <row r="3" spans="1:21" ht="15" thickBot="1" x14ac:dyDescent="0.4">
      <c r="G3" s="226" t="s">
        <v>1</v>
      </c>
      <c r="H3" s="227"/>
      <c r="I3" s="227"/>
      <c r="J3" s="227"/>
      <c r="K3" s="227"/>
      <c r="L3" s="227"/>
      <c r="M3" s="228"/>
      <c r="N3" s="1"/>
    </row>
    <row r="4" spans="1:21" ht="19" thickBot="1" x14ac:dyDescent="0.4">
      <c r="G4" s="229" t="s">
        <v>2</v>
      </c>
      <c r="H4" s="230"/>
      <c r="I4" s="230"/>
      <c r="J4" s="230"/>
      <c r="K4" s="230"/>
      <c r="L4" s="230"/>
      <c r="M4" s="231"/>
      <c r="N4" s="1"/>
    </row>
    <row r="5" spans="1:21" s="7" customFormat="1" ht="15" thickBot="1" x14ac:dyDescent="0.4">
      <c r="E5" s="8"/>
      <c r="G5" s="9"/>
      <c r="H5" s="10"/>
      <c r="I5" s="10">
        <v>36</v>
      </c>
      <c r="J5" s="10"/>
      <c r="K5" s="10"/>
      <c r="L5" s="10"/>
      <c r="M5" s="10"/>
      <c r="N5" s="10"/>
      <c r="O5" s="10"/>
      <c r="P5" s="11"/>
      <c r="Q5" s="11"/>
    </row>
    <row r="6" spans="1:21" ht="50.25" customHeight="1" thickBot="1" x14ac:dyDescent="0.4">
      <c r="A6" s="232"/>
      <c r="B6" s="233"/>
      <c r="C6" s="233"/>
      <c r="D6" s="234"/>
      <c r="E6" s="12" t="s">
        <v>3</v>
      </c>
      <c r="F6" s="13" t="s">
        <v>4</v>
      </c>
      <c r="G6" s="13" t="s">
        <v>5</v>
      </c>
      <c r="H6" s="14" t="s">
        <v>6</v>
      </c>
      <c r="I6" s="15" t="s">
        <v>7</v>
      </c>
      <c r="J6" s="16" t="s">
        <v>8</v>
      </c>
      <c r="K6" s="17" t="s">
        <v>9</v>
      </c>
      <c r="L6" s="14" t="s">
        <v>10</v>
      </c>
      <c r="M6" s="14" t="s">
        <v>11</v>
      </c>
      <c r="N6" s="14" t="s">
        <v>12</v>
      </c>
      <c r="O6" s="14" t="s">
        <v>13</v>
      </c>
      <c r="P6" s="14" t="s">
        <v>14</v>
      </c>
      <c r="Q6" s="14" t="s">
        <v>15</v>
      </c>
      <c r="S6" s="18"/>
      <c r="T6" s="18"/>
    </row>
    <row r="7" spans="1:21" x14ac:dyDescent="0.35">
      <c r="A7" s="19"/>
      <c r="B7" s="20"/>
      <c r="C7" s="21"/>
      <c r="D7" s="22" t="s">
        <v>16</v>
      </c>
      <c r="E7" s="23"/>
      <c r="F7" s="24"/>
      <c r="G7" s="25"/>
      <c r="H7" s="26"/>
      <c r="I7" s="27"/>
      <c r="J7" s="28"/>
      <c r="K7" s="29"/>
      <c r="L7" s="27"/>
      <c r="M7" s="28"/>
      <c r="N7" s="28"/>
      <c r="O7" s="30"/>
      <c r="P7" s="31"/>
      <c r="Q7" s="31"/>
      <c r="S7" s="18"/>
      <c r="T7" s="18"/>
    </row>
    <row r="8" spans="1:21" s="2" customFormat="1" x14ac:dyDescent="0.35">
      <c r="A8" s="32"/>
      <c r="B8" s="33"/>
      <c r="C8" s="34"/>
      <c r="D8" s="35" t="s">
        <v>17</v>
      </c>
      <c r="E8" s="36"/>
      <c r="F8" s="37">
        <v>2524909</v>
      </c>
      <c r="G8" s="38">
        <v>2033955</v>
      </c>
      <c r="H8" s="39">
        <f>Q8</f>
        <v>841636</v>
      </c>
      <c r="I8" s="40"/>
      <c r="J8" s="41">
        <f>210409+(210409/3)</f>
        <v>280545.33333333331</v>
      </c>
      <c r="K8" s="42">
        <f>210409</f>
        <v>210409</v>
      </c>
      <c r="L8" s="40">
        <f>K8</f>
        <v>210409</v>
      </c>
      <c r="M8" s="41">
        <f>L8</f>
        <v>210409</v>
      </c>
      <c r="N8" s="41">
        <f>M8</f>
        <v>210409</v>
      </c>
      <c r="O8" s="43">
        <f>N8</f>
        <v>210409</v>
      </c>
      <c r="P8" s="44">
        <f>SUM(I8:K8)</f>
        <v>490954.33333333331</v>
      </c>
      <c r="Q8" s="44">
        <f>SUM(L8:O8)</f>
        <v>841636</v>
      </c>
      <c r="S8" s="45"/>
      <c r="T8" s="45"/>
    </row>
    <row r="9" spans="1:21" s="2" customFormat="1" x14ac:dyDescent="0.35">
      <c r="A9" s="32"/>
      <c r="B9" s="33"/>
      <c r="C9" s="46"/>
      <c r="D9" s="47" t="s">
        <v>18</v>
      </c>
      <c r="E9" s="48"/>
      <c r="F9" s="49">
        <f>F8</f>
        <v>2524909</v>
      </c>
      <c r="G9" s="50">
        <f>G8</f>
        <v>2033955</v>
      </c>
      <c r="H9" s="51">
        <f>Q9</f>
        <v>841636</v>
      </c>
      <c r="I9" s="52"/>
      <c r="J9" s="53"/>
      <c r="K9" s="54"/>
      <c r="L9" s="40">
        <f>+L8</f>
        <v>210409</v>
      </c>
      <c r="M9" s="41">
        <f>L9</f>
        <v>210409</v>
      </c>
      <c r="N9" s="41">
        <f>+N8</f>
        <v>210409</v>
      </c>
      <c r="O9" s="41">
        <f>+O8</f>
        <v>210409</v>
      </c>
      <c r="P9" s="55">
        <f>P8</f>
        <v>490954.33333333331</v>
      </c>
      <c r="Q9" s="55">
        <f>Q8</f>
        <v>841636</v>
      </c>
      <c r="S9" s="45"/>
      <c r="T9" s="45"/>
    </row>
    <row r="10" spans="1:21" x14ac:dyDescent="0.35">
      <c r="A10" s="19" t="s">
        <v>19</v>
      </c>
      <c r="B10" s="56"/>
      <c r="C10" s="57"/>
      <c r="D10" s="58" t="s">
        <v>20</v>
      </c>
      <c r="E10" s="59"/>
      <c r="F10" s="60"/>
      <c r="G10" s="61"/>
      <c r="H10" s="62"/>
      <c r="I10" s="63"/>
      <c r="J10" s="64"/>
      <c r="K10" s="29"/>
      <c r="L10" s="27"/>
      <c r="M10" s="28"/>
      <c r="N10" s="28"/>
      <c r="O10" s="30"/>
      <c r="P10" s="65"/>
      <c r="Q10" s="65"/>
      <c r="S10" s="18"/>
      <c r="T10" s="18"/>
    </row>
    <row r="11" spans="1:21" x14ac:dyDescent="0.35">
      <c r="A11" s="66"/>
      <c r="B11" s="67" t="s">
        <v>21</v>
      </c>
      <c r="C11" s="34"/>
      <c r="D11" s="35" t="s">
        <v>22</v>
      </c>
      <c r="E11" s="68"/>
      <c r="F11" s="37"/>
      <c r="G11" s="38"/>
      <c r="H11" s="69"/>
      <c r="I11" s="70"/>
      <c r="J11" s="71"/>
      <c r="K11" s="72"/>
      <c r="L11" s="70"/>
      <c r="M11" s="71"/>
      <c r="N11" s="71"/>
      <c r="O11" s="73"/>
      <c r="P11" s="74"/>
      <c r="Q11" s="74"/>
      <c r="S11" s="18"/>
      <c r="T11" s="18"/>
    </row>
    <row r="12" spans="1:21" ht="15" customHeight="1" x14ac:dyDescent="0.35">
      <c r="A12" s="66"/>
      <c r="B12" s="20" t="s">
        <v>23</v>
      </c>
      <c r="C12" s="75"/>
      <c r="D12" s="76" t="s">
        <v>24</v>
      </c>
      <c r="E12" s="235" t="s">
        <v>25</v>
      </c>
      <c r="F12" s="37">
        <v>186000</v>
      </c>
      <c r="G12" s="38">
        <v>171000</v>
      </c>
      <c r="H12" s="78">
        <f t="shared" ref="H12:H20" si="0">Q12</f>
        <v>72000</v>
      </c>
      <c r="I12" s="79">
        <v>0</v>
      </c>
      <c r="J12" s="80" t="e">
        <f>#REF!</f>
        <v>#REF!</v>
      </c>
      <c r="K12" s="81" t="e">
        <f>#REF!*3+#REF!*3*2</f>
        <v>#REF!</v>
      </c>
      <c r="L12" s="79">
        <f>1500*4*3</f>
        <v>18000</v>
      </c>
      <c r="M12" s="80">
        <f t="shared" ref="M12:O17" si="1">L12</f>
        <v>18000</v>
      </c>
      <c r="N12" s="80">
        <f t="shared" si="1"/>
        <v>18000</v>
      </c>
      <c r="O12" s="82">
        <f t="shared" si="1"/>
        <v>18000</v>
      </c>
      <c r="P12" s="83" t="e">
        <f t="shared" ref="P12:P17" si="2">SUM(I12:K12)</f>
        <v>#REF!</v>
      </c>
      <c r="Q12" s="83">
        <f t="shared" ref="Q12:Q17" si="3">SUM(L12:O12)</f>
        <v>72000</v>
      </c>
      <c r="S12" s="84"/>
      <c r="T12" s="84"/>
      <c r="U12" s="84"/>
    </row>
    <row r="13" spans="1:21" ht="23" x14ac:dyDescent="0.35">
      <c r="A13" s="66"/>
      <c r="B13" s="20" t="s">
        <v>26</v>
      </c>
      <c r="C13" s="75"/>
      <c r="D13" s="76" t="s">
        <v>27</v>
      </c>
      <c r="E13" s="235"/>
      <c r="F13" s="37">
        <v>124000</v>
      </c>
      <c r="G13" s="38">
        <v>114000</v>
      </c>
      <c r="H13" s="78">
        <f t="shared" si="0"/>
        <v>48000</v>
      </c>
      <c r="I13" s="79">
        <v>0</v>
      </c>
      <c r="J13" s="80" t="e">
        <f>#REF!</f>
        <v>#REF!</v>
      </c>
      <c r="K13" s="81" t="e">
        <f>#REF!*3+#REF!*3*2</f>
        <v>#REF!</v>
      </c>
      <c r="L13" s="79">
        <f>1000*4*3</f>
        <v>12000</v>
      </c>
      <c r="M13" s="80">
        <f t="shared" si="1"/>
        <v>12000</v>
      </c>
      <c r="N13" s="80">
        <f t="shared" si="1"/>
        <v>12000</v>
      </c>
      <c r="O13" s="82">
        <f t="shared" si="1"/>
        <v>12000</v>
      </c>
      <c r="P13" s="83" t="e">
        <f t="shared" si="2"/>
        <v>#REF!</v>
      </c>
      <c r="Q13" s="83">
        <f t="shared" si="3"/>
        <v>48000</v>
      </c>
      <c r="S13" s="84"/>
      <c r="T13" s="84"/>
      <c r="U13" s="84"/>
    </row>
    <row r="14" spans="1:21" x14ac:dyDescent="0.35">
      <c r="A14" s="66"/>
      <c r="B14" s="20" t="s">
        <v>28</v>
      </c>
      <c r="C14" s="75"/>
      <c r="D14" s="76" t="s">
        <v>29</v>
      </c>
      <c r="E14" s="235"/>
      <c r="F14" s="37">
        <v>124000</v>
      </c>
      <c r="G14" s="38">
        <v>114000</v>
      </c>
      <c r="H14" s="78">
        <f t="shared" si="0"/>
        <v>48000</v>
      </c>
      <c r="I14" s="79">
        <v>0</v>
      </c>
      <c r="J14" s="80" t="e">
        <f>#REF!</f>
        <v>#REF!</v>
      </c>
      <c r="K14" s="81" t="e">
        <f>#REF!*3+#REF!*3*2</f>
        <v>#REF!</v>
      </c>
      <c r="L14" s="79">
        <f>1000*4*3</f>
        <v>12000</v>
      </c>
      <c r="M14" s="80">
        <f t="shared" si="1"/>
        <v>12000</v>
      </c>
      <c r="N14" s="80">
        <f t="shared" si="1"/>
        <v>12000</v>
      </c>
      <c r="O14" s="82">
        <f t="shared" si="1"/>
        <v>12000</v>
      </c>
      <c r="P14" s="83" t="e">
        <f t="shared" si="2"/>
        <v>#REF!</v>
      </c>
      <c r="Q14" s="83">
        <f t="shared" si="3"/>
        <v>48000</v>
      </c>
      <c r="S14" s="84"/>
      <c r="T14" s="84"/>
      <c r="U14" s="84"/>
    </row>
    <row r="15" spans="1:21" x14ac:dyDescent="0.35">
      <c r="A15" s="66"/>
      <c r="B15" s="20" t="s">
        <v>30</v>
      </c>
      <c r="C15" s="75"/>
      <c r="D15" s="76" t="s">
        <v>31</v>
      </c>
      <c r="E15" s="235"/>
      <c r="F15" s="37">
        <v>124000</v>
      </c>
      <c r="G15" s="38">
        <v>114000</v>
      </c>
      <c r="H15" s="78">
        <f t="shared" si="0"/>
        <v>48000</v>
      </c>
      <c r="I15" s="79">
        <v>0</v>
      </c>
      <c r="J15" s="80" t="e">
        <f>#REF!</f>
        <v>#REF!</v>
      </c>
      <c r="K15" s="81" t="e">
        <f>#REF!*3+#REF!*3*2</f>
        <v>#REF!</v>
      </c>
      <c r="L15" s="79">
        <f>1000*4*3</f>
        <v>12000</v>
      </c>
      <c r="M15" s="80">
        <f t="shared" si="1"/>
        <v>12000</v>
      </c>
      <c r="N15" s="80">
        <f t="shared" si="1"/>
        <v>12000</v>
      </c>
      <c r="O15" s="82">
        <f t="shared" si="1"/>
        <v>12000</v>
      </c>
      <c r="P15" s="83" t="e">
        <f t="shared" si="2"/>
        <v>#REF!</v>
      </c>
      <c r="Q15" s="83">
        <f t="shared" si="3"/>
        <v>48000</v>
      </c>
      <c r="S15" s="84"/>
      <c r="T15" s="84"/>
      <c r="U15" s="84"/>
    </row>
    <row r="16" spans="1:21" x14ac:dyDescent="0.35">
      <c r="A16" s="66"/>
      <c r="B16" s="20" t="s">
        <v>32</v>
      </c>
      <c r="C16" s="75"/>
      <c r="D16" s="76" t="s">
        <v>33</v>
      </c>
      <c r="E16" s="235"/>
      <c r="F16" s="37">
        <v>124000</v>
      </c>
      <c r="G16" s="38">
        <v>114000</v>
      </c>
      <c r="H16" s="78">
        <f t="shared" si="0"/>
        <v>48000</v>
      </c>
      <c r="I16" s="79">
        <v>0</v>
      </c>
      <c r="J16" s="80" t="e">
        <f>#REF!</f>
        <v>#REF!</v>
      </c>
      <c r="K16" s="81" t="e">
        <f>#REF!*3+#REF!*3*2</f>
        <v>#REF!</v>
      </c>
      <c r="L16" s="79">
        <f>1000*4*3</f>
        <v>12000</v>
      </c>
      <c r="M16" s="80">
        <f t="shared" si="1"/>
        <v>12000</v>
      </c>
      <c r="N16" s="80">
        <f t="shared" si="1"/>
        <v>12000</v>
      </c>
      <c r="O16" s="82">
        <f t="shared" si="1"/>
        <v>12000</v>
      </c>
      <c r="P16" s="83" t="e">
        <f t="shared" si="2"/>
        <v>#REF!</v>
      </c>
      <c r="Q16" s="83">
        <f t="shared" si="3"/>
        <v>48000</v>
      </c>
      <c r="S16" s="84"/>
      <c r="T16" s="84"/>
      <c r="U16" s="84"/>
    </row>
    <row r="17" spans="1:21" x14ac:dyDescent="0.35">
      <c r="A17" s="66"/>
      <c r="B17" s="20" t="s">
        <v>34</v>
      </c>
      <c r="C17" s="75"/>
      <c r="D17" s="76" t="s">
        <v>35</v>
      </c>
      <c r="E17" s="235"/>
      <c r="F17" s="37">
        <v>124000</v>
      </c>
      <c r="G17" s="38">
        <v>114000</v>
      </c>
      <c r="H17" s="78">
        <f t="shared" si="0"/>
        <v>48000</v>
      </c>
      <c r="I17" s="79">
        <v>0</v>
      </c>
      <c r="J17" s="80" t="e">
        <f>#REF!</f>
        <v>#REF!</v>
      </c>
      <c r="K17" s="81" t="e">
        <f>#REF!*3+#REF!*3*2</f>
        <v>#REF!</v>
      </c>
      <c r="L17" s="79">
        <f>1000*4*3</f>
        <v>12000</v>
      </c>
      <c r="M17" s="80">
        <f t="shared" si="1"/>
        <v>12000</v>
      </c>
      <c r="N17" s="80">
        <f t="shared" si="1"/>
        <v>12000</v>
      </c>
      <c r="O17" s="82">
        <f t="shared" si="1"/>
        <v>12000</v>
      </c>
      <c r="P17" s="83" t="e">
        <f t="shared" si="2"/>
        <v>#REF!</v>
      </c>
      <c r="Q17" s="83">
        <f t="shared" si="3"/>
        <v>48000</v>
      </c>
      <c r="S17" s="84"/>
      <c r="T17" s="84"/>
      <c r="U17" s="84"/>
    </row>
    <row r="18" spans="1:21" x14ac:dyDescent="0.35">
      <c r="A18" s="85"/>
      <c r="B18" s="20"/>
      <c r="C18" s="47"/>
      <c r="D18" s="22" t="s">
        <v>36</v>
      </c>
      <c r="E18" s="86"/>
      <c r="F18" s="87">
        <f>SUM(F12:F17)</f>
        <v>806000</v>
      </c>
      <c r="G18" s="88">
        <f>SUM(G12:G17)</f>
        <v>741000</v>
      </c>
      <c r="H18" s="88">
        <f t="shared" ref="H18:O18" si="4">SUM(H12:H17)</f>
        <v>312000</v>
      </c>
      <c r="I18" s="88">
        <f t="shared" si="4"/>
        <v>0</v>
      </c>
      <c r="J18" s="88" t="e">
        <f t="shared" si="4"/>
        <v>#REF!</v>
      </c>
      <c r="K18" s="88" t="e">
        <f t="shared" si="4"/>
        <v>#REF!</v>
      </c>
      <c r="L18" s="88">
        <f t="shared" si="4"/>
        <v>78000</v>
      </c>
      <c r="M18" s="88">
        <f t="shared" si="4"/>
        <v>78000</v>
      </c>
      <c r="N18" s="88">
        <f t="shared" si="4"/>
        <v>78000</v>
      </c>
      <c r="O18" s="88">
        <f t="shared" si="4"/>
        <v>78000</v>
      </c>
      <c r="P18" s="89" t="e">
        <f>P17+P16+P15+P14+P13+P12</f>
        <v>#REF!</v>
      </c>
      <c r="Q18" s="89">
        <f>Q17+Q16+Q15+Q14+Q13+Q12</f>
        <v>312000</v>
      </c>
      <c r="S18" s="84"/>
      <c r="T18" s="84"/>
      <c r="U18" s="84"/>
    </row>
    <row r="19" spans="1:21" x14ac:dyDescent="0.35">
      <c r="A19" s="66"/>
      <c r="B19" s="67" t="s">
        <v>37</v>
      </c>
      <c r="C19" s="34"/>
      <c r="D19" s="35" t="s">
        <v>38</v>
      </c>
      <c r="E19" s="68"/>
      <c r="F19" s="37"/>
      <c r="G19" s="38"/>
      <c r="H19" s="69"/>
      <c r="I19" s="79"/>
      <c r="J19" s="80"/>
      <c r="K19" s="81"/>
      <c r="L19" s="79"/>
      <c r="M19" s="80"/>
      <c r="N19" s="80"/>
      <c r="O19" s="82"/>
      <c r="P19" s="83"/>
      <c r="Q19" s="83"/>
      <c r="S19" s="84"/>
      <c r="T19" s="84"/>
      <c r="U19" s="84"/>
    </row>
    <row r="20" spans="1:21" x14ac:dyDescent="0.35">
      <c r="A20" s="66">
        <v>8</v>
      </c>
      <c r="B20" s="20" t="s">
        <v>39</v>
      </c>
      <c r="C20" s="75"/>
      <c r="D20" s="90" t="s">
        <v>40</v>
      </c>
      <c r="E20" s="68" t="s">
        <v>41</v>
      </c>
      <c r="F20" s="37">
        <v>31000</v>
      </c>
      <c r="G20" s="38">
        <v>27000</v>
      </c>
      <c r="H20" s="78">
        <f t="shared" si="0"/>
        <v>24000</v>
      </c>
      <c r="I20" s="79">
        <v>0</v>
      </c>
      <c r="J20" s="91" t="e">
        <f>#REF!*#REF!</f>
        <v>#REF!</v>
      </c>
      <c r="K20" s="81" t="e">
        <f>3*#REF!*#REF!</f>
        <v>#REF!</v>
      </c>
      <c r="L20" s="79">
        <f>1000*2*3</f>
        <v>6000</v>
      </c>
      <c r="M20" s="80">
        <f>L20</f>
        <v>6000</v>
      </c>
      <c r="N20" s="80">
        <f>M20</f>
        <v>6000</v>
      </c>
      <c r="O20" s="82">
        <f>N20</f>
        <v>6000</v>
      </c>
      <c r="P20" s="83" t="e">
        <f>SUM(I20:K20)</f>
        <v>#REF!</v>
      </c>
      <c r="Q20" s="83">
        <f>SUM(L20:O20)</f>
        <v>24000</v>
      </c>
      <c r="S20" s="84"/>
      <c r="T20" s="84"/>
      <c r="U20" s="84"/>
    </row>
    <row r="21" spans="1:21" x14ac:dyDescent="0.35">
      <c r="A21" s="66"/>
      <c r="B21" s="20" t="s">
        <v>42</v>
      </c>
      <c r="C21" s="75"/>
      <c r="D21" s="90" t="s">
        <v>43</v>
      </c>
      <c r="E21" s="68" t="s">
        <v>44</v>
      </c>
      <c r="F21" s="37">
        <v>62000</v>
      </c>
      <c r="G21" s="38">
        <v>62000</v>
      </c>
      <c r="H21" s="92"/>
      <c r="I21" s="93"/>
      <c r="J21" s="94"/>
      <c r="K21" s="95"/>
      <c r="L21" s="93"/>
      <c r="M21" s="94"/>
      <c r="N21" s="94"/>
      <c r="O21" s="96"/>
      <c r="P21" s="97"/>
      <c r="Q21" s="97"/>
      <c r="S21" s="84"/>
      <c r="T21" s="84"/>
      <c r="U21" s="84"/>
    </row>
    <row r="22" spans="1:21" x14ac:dyDescent="0.35">
      <c r="A22" s="85"/>
      <c r="B22" s="20"/>
      <c r="C22" s="21"/>
      <c r="D22" s="22" t="s">
        <v>45</v>
      </c>
      <c r="E22" s="86"/>
      <c r="F22" s="87">
        <f>SUM(F20:F21)</f>
        <v>93000</v>
      </c>
      <c r="G22" s="87">
        <f>SUM(G20:G21)</f>
        <v>89000</v>
      </c>
      <c r="H22" s="87">
        <f t="shared" ref="H22:O22" si="5">SUM(H20:H21)</f>
        <v>24000</v>
      </c>
      <c r="I22" s="87">
        <f t="shared" si="5"/>
        <v>0</v>
      </c>
      <c r="J22" s="87" t="e">
        <f t="shared" si="5"/>
        <v>#REF!</v>
      </c>
      <c r="K22" s="87" t="e">
        <f t="shared" si="5"/>
        <v>#REF!</v>
      </c>
      <c r="L22" s="87">
        <f t="shared" si="5"/>
        <v>6000</v>
      </c>
      <c r="M22" s="87">
        <f t="shared" si="5"/>
        <v>6000</v>
      </c>
      <c r="N22" s="87">
        <f t="shared" si="5"/>
        <v>6000</v>
      </c>
      <c r="O22" s="87">
        <f t="shared" si="5"/>
        <v>6000</v>
      </c>
      <c r="P22" s="89" t="e">
        <f>P20+P21</f>
        <v>#REF!</v>
      </c>
      <c r="Q22" s="89">
        <f>Q20+Q21</f>
        <v>24000</v>
      </c>
      <c r="S22" s="84"/>
      <c r="T22" s="84"/>
      <c r="U22" s="84"/>
    </row>
    <row r="23" spans="1:21" x14ac:dyDescent="0.35">
      <c r="A23" s="66"/>
      <c r="B23" s="67" t="s">
        <v>46</v>
      </c>
      <c r="C23" s="34"/>
      <c r="D23" s="35" t="s">
        <v>47</v>
      </c>
      <c r="E23" s="68"/>
      <c r="F23" s="37"/>
      <c r="G23" s="38"/>
      <c r="H23" s="39"/>
      <c r="I23" s="79"/>
      <c r="J23" s="80"/>
      <c r="K23" s="81"/>
      <c r="L23" s="79"/>
      <c r="M23" s="80"/>
      <c r="N23" s="80"/>
      <c r="O23" s="82"/>
      <c r="P23" s="83"/>
      <c r="Q23" s="83"/>
      <c r="S23" s="84"/>
      <c r="T23" s="84"/>
      <c r="U23" s="84"/>
    </row>
    <row r="24" spans="1:21" x14ac:dyDescent="0.35">
      <c r="A24" s="66"/>
      <c r="B24" s="20" t="s">
        <v>48</v>
      </c>
      <c r="C24" s="75"/>
      <c r="D24" s="90" t="s">
        <v>49</v>
      </c>
      <c r="E24" s="235"/>
      <c r="F24" s="37">
        <v>74400</v>
      </c>
      <c r="G24" s="38">
        <v>68400</v>
      </c>
      <c r="H24" s="78">
        <v>28800</v>
      </c>
      <c r="I24" s="79">
        <v>0</v>
      </c>
      <c r="J24" s="80" t="e">
        <f>#REF!*#REF!/4</f>
        <v>#REF!</v>
      </c>
      <c r="K24" s="81" t="e">
        <f>#REF!*#REF!/4*3+#REF!*#REF!/4*3*2</f>
        <v>#REF!</v>
      </c>
      <c r="L24" s="79">
        <v>7200</v>
      </c>
      <c r="M24" s="80">
        <v>7200</v>
      </c>
      <c r="N24" s="80">
        <f>M24</f>
        <v>7200</v>
      </c>
      <c r="O24" s="82">
        <f>N24</f>
        <v>7200</v>
      </c>
      <c r="P24" s="83" t="e">
        <f>SUM(I24:K24)</f>
        <v>#REF!</v>
      </c>
      <c r="Q24" s="83">
        <f>SUM(L24:O24)</f>
        <v>28800</v>
      </c>
      <c r="S24" s="84"/>
      <c r="T24" s="84"/>
      <c r="U24" s="84"/>
    </row>
    <row r="25" spans="1:21" ht="23" x14ac:dyDescent="0.35">
      <c r="A25" s="66"/>
      <c r="B25" s="20" t="s">
        <v>50</v>
      </c>
      <c r="C25" s="75"/>
      <c r="D25" s="90" t="s">
        <v>51</v>
      </c>
      <c r="E25" s="235"/>
      <c r="F25" s="37">
        <v>111600</v>
      </c>
      <c r="G25" s="38">
        <v>97200</v>
      </c>
      <c r="H25" s="78">
        <v>2400</v>
      </c>
      <c r="I25" s="79">
        <v>0</v>
      </c>
      <c r="J25" s="91" t="e">
        <f>#REF!*#REF!*#REF!/31</f>
        <v>#REF!</v>
      </c>
      <c r="K25" s="81" t="e">
        <f>#REF!*#REF!*#REF!*3/31</f>
        <v>#REF!</v>
      </c>
      <c r="L25" s="79">
        <v>600</v>
      </c>
      <c r="M25" s="80">
        <v>600</v>
      </c>
      <c r="N25" s="80">
        <f>M25</f>
        <v>600</v>
      </c>
      <c r="O25" s="82">
        <f>N25</f>
        <v>600</v>
      </c>
      <c r="P25" s="83" t="e">
        <f>SUM(I25:K25)</f>
        <v>#REF!</v>
      </c>
      <c r="Q25" s="83">
        <f>SUM(L25:O25)</f>
        <v>2400</v>
      </c>
      <c r="S25" s="84"/>
      <c r="T25" s="84"/>
      <c r="U25" s="84"/>
    </row>
    <row r="26" spans="1:21" x14ac:dyDescent="0.35">
      <c r="A26" s="85"/>
      <c r="B26" s="20"/>
      <c r="C26" s="21"/>
      <c r="D26" s="22" t="s">
        <v>52</v>
      </c>
      <c r="E26" s="86"/>
      <c r="F26" s="87">
        <f>SUM(F24:F25)</f>
        <v>186000</v>
      </c>
      <c r="G26" s="87">
        <f>SUM(G24:G25)</f>
        <v>165600</v>
      </c>
      <c r="H26" s="87">
        <f>SUM(H24:H25)</f>
        <v>31200</v>
      </c>
      <c r="I26" s="87">
        <f t="shared" ref="I26:O26" si="6">SUM(I24:I25)</f>
        <v>0</v>
      </c>
      <c r="J26" s="87" t="e">
        <f t="shared" si="6"/>
        <v>#REF!</v>
      </c>
      <c r="K26" s="87" t="e">
        <f t="shared" si="6"/>
        <v>#REF!</v>
      </c>
      <c r="L26" s="87">
        <f t="shared" si="6"/>
        <v>7800</v>
      </c>
      <c r="M26" s="87">
        <f t="shared" si="6"/>
        <v>7800</v>
      </c>
      <c r="N26" s="87">
        <f t="shared" si="6"/>
        <v>7800</v>
      </c>
      <c r="O26" s="87">
        <f t="shared" si="6"/>
        <v>7800</v>
      </c>
      <c r="P26" s="89" t="e">
        <f>P25+P24</f>
        <v>#REF!</v>
      </c>
      <c r="Q26" s="89">
        <f>Q25+Q24</f>
        <v>31200</v>
      </c>
      <c r="S26" s="84"/>
      <c r="T26" s="84"/>
      <c r="U26" s="84"/>
    </row>
    <row r="27" spans="1:21" x14ac:dyDescent="0.35">
      <c r="A27" s="98"/>
      <c r="B27" s="67"/>
      <c r="C27" s="99"/>
      <c r="D27" s="100" t="s">
        <v>53</v>
      </c>
      <c r="E27" s="101"/>
      <c r="F27" s="102">
        <f>F18+F22+F26</f>
        <v>1085000</v>
      </c>
      <c r="G27" s="102">
        <f>G18+G22+G26</f>
        <v>995600</v>
      </c>
      <c r="H27" s="102">
        <f t="shared" ref="H27:O27" si="7">H18+H22+H26</f>
        <v>367200</v>
      </c>
      <c r="I27" s="102">
        <f t="shared" si="7"/>
        <v>0</v>
      </c>
      <c r="J27" s="102" t="e">
        <f t="shared" si="7"/>
        <v>#REF!</v>
      </c>
      <c r="K27" s="102" t="e">
        <f t="shared" si="7"/>
        <v>#REF!</v>
      </c>
      <c r="L27" s="102">
        <f t="shared" si="7"/>
        <v>91800</v>
      </c>
      <c r="M27" s="102">
        <f t="shared" si="7"/>
        <v>91800</v>
      </c>
      <c r="N27" s="102">
        <f t="shared" si="7"/>
        <v>91800</v>
      </c>
      <c r="O27" s="102">
        <f t="shared" si="7"/>
        <v>91800</v>
      </c>
      <c r="P27" s="103" t="e">
        <f>P18+P22+P26</f>
        <v>#REF!</v>
      </c>
      <c r="Q27" s="103">
        <f>Q18+Q22+Q26</f>
        <v>367200</v>
      </c>
      <c r="S27" s="84"/>
      <c r="T27" s="84"/>
      <c r="U27" s="84"/>
    </row>
    <row r="28" spans="1:21" x14ac:dyDescent="0.35">
      <c r="A28" s="104" t="s">
        <v>54</v>
      </c>
      <c r="B28" s="67"/>
      <c r="C28" s="21"/>
      <c r="D28" s="22" t="s">
        <v>55</v>
      </c>
      <c r="E28" s="86"/>
      <c r="F28" s="105"/>
      <c r="G28" s="106"/>
      <c r="H28" s="107"/>
      <c r="I28" s="93"/>
      <c r="J28" s="94"/>
      <c r="K28" s="95"/>
      <c r="L28" s="93"/>
      <c r="M28" s="94"/>
      <c r="N28" s="94"/>
      <c r="O28" s="96"/>
      <c r="P28" s="97"/>
      <c r="Q28" s="97"/>
      <c r="S28" s="84"/>
      <c r="T28" s="84"/>
      <c r="U28" s="84"/>
    </row>
    <row r="29" spans="1:21" x14ac:dyDescent="0.35">
      <c r="A29" s="104" t="s">
        <v>56</v>
      </c>
      <c r="B29" s="67" t="s">
        <v>57</v>
      </c>
      <c r="C29" s="21"/>
      <c r="D29" s="22" t="s">
        <v>58</v>
      </c>
      <c r="E29" s="86"/>
      <c r="F29" s="105"/>
      <c r="G29" s="106"/>
      <c r="H29" s="107"/>
      <c r="I29" s="93"/>
      <c r="J29" s="94"/>
      <c r="K29" s="95"/>
      <c r="L29" s="93"/>
      <c r="M29" s="94"/>
      <c r="N29" s="94"/>
      <c r="O29" s="96"/>
      <c r="P29" s="97"/>
      <c r="Q29" s="97"/>
      <c r="S29" s="84"/>
      <c r="T29" s="84"/>
      <c r="U29" s="84"/>
    </row>
    <row r="30" spans="1:21" ht="34.5" x14ac:dyDescent="0.35">
      <c r="A30" s="66"/>
      <c r="B30" s="20" t="s">
        <v>59</v>
      </c>
      <c r="C30" s="75" t="s">
        <v>60</v>
      </c>
      <c r="D30" s="90" t="s">
        <v>61</v>
      </c>
      <c r="E30" s="68" t="s">
        <v>62</v>
      </c>
      <c r="F30" s="37">
        <v>57000</v>
      </c>
      <c r="G30" s="38">
        <v>14500</v>
      </c>
      <c r="H30" s="78">
        <f>Q30</f>
        <v>14500</v>
      </c>
      <c r="I30" s="108"/>
      <c r="J30" s="80">
        <v>21250</v>
      </c>
      <c r="K30" s="81">
        <v>21250</v>
      </c>
      <c r="L30" s="79">
        <f>21250-6750</f>
        <v>14500</v>
      </c>
      <c r="M30" s="80">
        <v>0</v>
      </c>
      <c r="N30" s="80">
        <v>0</v>
      </c>
      <c r="O30" s="82">
        <v>0</v>
      </c>
      <c r="P30" s="83">
        <f>SUM(I30:K30)</f>
        <v>42500</v>
      </c>
      <c r="Q30" s="83">
        <f>SUM(L30:O30)</f>
        <v>14500</v>
      </c>
      <c r="S30" s="84"/>
      <c r="T30" s="84"/>
      <c r="U30" s="84"/>
    </row>
    <row r="31" spans="1:21" ht="46" x14ac:dyDescent="0.35">
      <c r="A31" s="66"/>
      <c r="B31" s="20" t="s">
        <v>63</v>
      </c>
      <c r="C31" s="75" t="s">
        <v>60</v>
      </c>
      <c r="D31" s="90" t="s">
        <v>64</v>
      </c>
      <c r="E31" s="68" t="s">
        <v>65</v>
      </c>
      <c r="F31" s="37">
        <v>225000</v>
      </c>
      <c r="G31" s="38">
        <v>225000</v>
      </c>
      <c r="H31" s="78">
        <v>225000</v>
      </c>
      <c r="I31" s="108"/>
      <c r="J31" s="80">
        <v>5000</v>
      </c>
      <c r="K31" s="81">
        <v>10000</v>
      </c>
      <c r="L31" s="79">
        <f>+L32+L33</f>
        <v>7000</v>
      </c>
      <c r="M31" s="79">
        <f t="shared" ref="M31:Q31" si="8">+M32+M33</f>
        <v>72666.666666666672</v>
      </c>
      <c r="N31" s="79">
        <f t="shared" si="8"/>
        <v>72666</v>
      </c>
      <c r="O31" s="79">
        <f t="shared" si="8"/>
        <v>72667</v>
      </c>
      <c r="P31" s="79">
        <f t="shared" si="8"/>
        <v>0</v>
      </c>
      <c r="Q31" s="79">
        <f t="shared" si="8"/>
        <v>224999.66666666669</v>
      </c>
      <c r="S31" s="84"/>
      <c r="T31" s="84"/>
      <c r="U31" s="84"/>
    </row>
    <row r="32" spans="1:21" s="210" customFormat="1" x14ac:dyDescent="0.35">
      <c r="A32" s="202"/>
      <c r="B32" s="203" t="s">
        <v>66</v>
      </c>
      <c r="C32" s="204" t="s">
        <v>60</v>
      </c>
      <c r="D32" s="205" t="s">
        <v>67</v>
      </c>
      <c r="E32" s="77"/>
      <c r="F32" s="134"/>
      <c r="G32" s="213"/>
      <c r="H32" s="206">
        <v>7000</v>
      </c>
      <c r="I32" s="132"/>
      <c r="J32" s="179"/>
      <c r="K32" s="179"/>
      <c r="L32" s="135">
        <v>7000</v>
      </c>
      <c r="M32" s="179">
        <v>0</v>
      </c>
      <c r="N32" s="179">
        <v>0</v>
      </c>
      <c r="O32" s="179">
        <v>0</v>
      </c>
      <c r="P32" s="83"/>
      <c r="Q32" s="83">
        <f t="shared" ref="Q32:Q33" si="9">SUM(L32:O32)</f>
        <v>7000</v>
      </c>
      <c r="S32" s="209"/>
      <c r="T32" s="209"/>
      <c r="U32" s="209"/>
    </row>
    <row r="33" spans="1:27" s="210" customFormat="1" x14ac:dyDescent="0.35">
      <c r="A33" s="202"/>
      <c r="B33" s="203" t="s">
        <v>68</v>
      </c>
      <c r="C33" s="204" t="s">
        <v>60</v>
      </c>
      <c r="D33" s="205" t="s">
        <v>69</v>
      </c>
      <c r="E33" s="77"/>
      <c r="F33" s="134"/>
      <c r="G33" s="213"/>
      <c r="H33" s="206">
        <v>218000</v>
      </c>
      <c r="I33" s="132"/>
      <c r="J33" s="179"/>
      <c r="K33" s="179"/>
      <c r="L33" s="135"/>
      <c r="M33" s="179">
        <f>+H33/3</f>
        <v>72666.666666666672</v>
      </c>
      <c r="N33" s="179">
        <v>72666</v>
      </c>
      <c r="O33" s="179">
        <v>72667</v>
      </c>
      <c r="P33" s="83"/>
      <c r="Q33" s="83">
        <f t="shared" si="9"/>
        <v>217999.66666666669</v>
      </c>
      <c r="S33" s="209"/>
      <c r="T33" s="209"/>
      <c r="U33" s="209"/>
    </row>
    <row r="34" spans="1:27" x14ac:dyDescent="0.35">
      <c r="A34" s="98"/>
      <c r="B34" s="67"/>
      <c r="C34" s="99"/>
      <c r="D34" s="109" t="s">
        <v>70</v>
      </c>
      <c r="E34" s="110"/>
      <c r="F34" s="111">
        <f t="shared" ref="F34:O34" si="10">SUM(F30:F31)</f>
        <v>282000</v>
      </c>
      <c r="G34" s="111">
        <f t="shared" si="10"/>
        <v>239500</v>
      </c>
      <c r="H34" s="111">
        <f t="shared" si="10"/>
        <v>239500</v>
      </c>
      <c r="I34" s="111">
        <f t="shared" si="10"/>
        <v>0</v>
      </c>
      <c r="J34" s="111">
        <f t="shared" si="10"/>
        <v>26250</v>
      </c>
      <c r="K34" s="111">
        <f t="shared" si="10"/>
        <v>31250</v>
      </c>
      <c r="L34" s="111">
        <f t="shared" si="10"/>
        <v>21500</v>
      </c>
      <c r="M34" s="111">
        <f t="shared" si="10"/>
        <v>72666.666666666672</v>
      </c>
      <c r="N34" s="111">
        <f t="shared" si="10"/>
        <v>72666</v>
      </c>
      <c r="O34" s="111">
        <f t="shared" si="10"/>
        <v>72667</v>
      </c>
      <c r="P34" s="112" t="e">
        <f>#REF!+#REF!+#REF!+#REF!+#REF!+#REF!+#REF!+#REF!+P30+P31</f>
        <v>#REF!</v>
      </c>
      <c r="Q34" s="112">
        <f>Q30+Q31</f>
        <v>239499.66666666669</v>
      </c>
      <c r="S34" s="84"/>
      <c r="T34" s="84"/>
      <c r="U34" s="84"/>
    </row>
    <row r="35" spans="1:27" x14ac:dyDescent="0.35">
      <c r="A35" s="104" t="s">
        <v>71</v>
      </c>
      <c r="B35" s="67" t="s">
        <v>72</v>
      </c>
      <c r="C35" s="113"/>
      <c r="D35" s="22" t="s">
        <v>73</v>
      </c>
      <c r="E35" s="86"/>
      <c r="F35" s="87"/>
      <c r="G35" s="114"/>
      <c r="H35" s="115"/>
      <c r="I35" s="93"/>
      <c r="J35" s="94"/>
      <c r="K35" s="95"/>
      <c r="L35" s="93"/>
      <c r="M35" s="94"/>
      <c r="N35" s="94"/>
      <c r="O35" s="96"/>
      <c r="P35" s="97"/>
      <c r="Q35" s="97"/>
      <c r="S35" s="84"/>
      <c r="T35" s="84"/>
      <c r="U35" s="84"/>
    </row>
    <row r="36" spans="1:27" x14ac:dyDescent="0.35">
      <c r="A36" s="66"/>
      <c r="B36" s="20" t="s">
        <v>74</v>
      </c>
      <c r="C36" s="75"/>
      <c r="D36" s="90" t="s">
        <v>75</v>
      </c>
      <c r="E36" s="68"/>
      <c r="F36" s="37">
        <v>36000</v>
      </c>
      <c r="G36" s="38">
        <v>29000</v>
      </c>
      <c r="H36" s="78">
        <v>12000</v>
      </c>
      <c r="I36" s="79" t="e">
        <f>#REF!</f>
        <v>#REF!</v>
      </c>
      <c r="J36" s="80" t="e">
        <f>#REF!*#REF!</f>
        <v>#REF!</v>
      </c>
      <c r="K36" s="81" t="e">
        <f>#REF!*#REF!</f>
        <v>#REF!</v>
      </c>
      <c r="L36" s="79">
        <v>3000</v>
      </c>
      <c r="M36" s="80">
        <f t="shared" ref="M36:O44" si="11">L36</f>
        <v>3000</v>
      </c>
      <c r="N36" s="80">
        <f t="shared" si="11"/>
        <v>3000</v>
      </c>
      <c r="O36" s="82">
        <f t="shared" si="11"/>
        <v>3000</v>
      </c>
      <c r="P36" s="83" t="e">
        <f>SUM(I36:K36)</f>
        <v>#REF!</v>
      </c>
      <c r="Q36" s="83">
        <f>SUM(L36:O36)</f>
        <v>12000</v>
      </c>
      <c r="S36" s="116"/>
      <c r="T36" s="84"/>
      <c r="U36" s="84"/>
    </row>
    <row r="37" spans="1:27" x14ac:dyDescent="0.35">
      <c r="A37" s="66"/>
      <c r="B37" s="20" t="s">
        <v>76</v>
      </c>
      <c r="C37" s="75"/>
      <c r="D37" s="90" t="s">
        <v>77</v>
      </c>
      <c r="E37" s="68"/>
      <c r="F37" s="37">
        <v>36000</v>
      </c>
      <c r="G37" s="38">
        <v>30000</v>
      </c>
      <c r="H37" s="78">
        <v>12000</v>
      </c>
      <c r="I37" s="79"/>
      <c r="J37" s="80" t="e">
        <f>#REF!*#REF!</f>
        <v>#REF!</v>
      </c>
      <c r="K37" s="81" t="e">
        <f>#REF!*#REF!</f>
        <v>#REF!</v>
      </c>
      <c r="L37" s="79">
        <v>3000</v>
      </c>
      <c r="M37" s="80">
        <f t="shared" si="11"/>
        <v>3000</v>
      </c>
      <c r="N37" s="80">
        <f t="shared" si="11"/>
        <v>3000</v>
      </c>
      <c r="O37" s="82">
        <f t="shared" si="11"/>
        <v>3000</v>
      </c>
      <c r="P37" s="83" t="e">
        <f t="shared" ref="P37:P44" si="12">SUM(I37:K37)</f>
        <v>#REF!</v>
      </c>
      <c r="Q37" s="83">
        <f t="shared" ref="Q37:Q44" si="13">SUM(L37:O37)</f>
        <v>12000</v>
      </c>
      <c r="S37" s="84"/>
      <c r="T37" s="84"/>
      <c r="U37" s="84"/>
    </row>
    <row r="38" spans="1:27" x14ac:dyDescent="0.35">
      <c r="A38" s="66"/>
      <c r="B38" s="20" t="s">
        <v>78</v>
      </c>
      <c r="C38" s="75"/>
      <c r="D38" s="90" t="s">
        <v>79</v>
      </c>
      <c r="E38" s="68"/>
      <c r="F38" s="37">
        <v>18000</v>
      </c>
      <c r="G38" s="38">
        <v>15000</v>
      </c>
      <c r="H38" s="78">
        <v>6000</v>
      </c>
      <c r="I38" s="79"/>
      <c r="J38" s="80" t="e">
        <f>#REF!*#REF!</f>
        <v>#REF!</v>
      </c>
      <c r="K38" s="81" t="e">
        <f>#REF!*#REF!</f>
        <v>#REF!</v>
      </c>
      <c r="L38" s="79">
        <v>1500</v>
      </c>
      <c r="M38" s="80">
        <f t="shared" si="11"/>
        <v>1500</v>
      </c>
      <c r="N38" s="80">
        <f t="shared" si="11"/>
        <v>1500</v>
      </c>
      <c r="O38" s="82">
        <f t="shared" si="11"/>
        <v>1500</v>
      </c>
      <c r="P38" s="83" t="e">
        <f t="shared" si="12"/>
        <v>#REF!</v>
      </c>
      <c r="Q38" s="83">
        <f t="shared" si="13"/>
        <v>6000</v>
      </c>
      <c r="S38" s="84"/>
      <c r="T38" s="84"/>
      <c r="U38" s="84"/>
    </row>
    <row r="39" spans="1:27" x14ac:dyDescent="0.35">
      <c r="A39" s="66"/>
      <c r="B39" s="20" t="s">
        <v>80</v>
      </c>
      <c r="C39" s="75"/>
      <c r="D39" s="90" t="s">
        <v>81</v>
      </c>
      <c r="E39" s="68"/>
      <c r="F39" s="37">
        <v>86400</v>
      </c>
      <c r="G39" s="38">
        <v>69600</v>
      </c>
      <c r="H39" s="78">
        <v>14400</v>
      </c>
      <c r="I39" s="79" t="e">
        <f>#REF!*#REF!</f>
        <v>#REF!</v>
      </c>
      <c r="J39" s="80" t="e">
        <f>#REF!*#REF!*#REF!</f>
        <v>#REF!</v>
      </c>
      <c r="K39" s="81" t="e">
        <f>#REF!*#REF!*#REF!</f>
        <v>#REF!</v>
      </c>
      <c r="L39" s="79">
        <v>3600</v>
      </c>
      <c r="M39" s="80">
        <f t="shared" si="11"/>
        <v>3600</v>
      </c>
      <c r="N39" s="80">
        <f t="shared" si="11"/>
        <v>3600</v>
      </c>
      <c r="O39" s="82">
        <f t="shared" si="11"/>
        <v>3600</v>
      </c>
      <c r="P39" s="83" t="e">
        <f t="shared" si="12"/>
        <v>#REF!</v>
      </c>
      <c r="Q39" s="83">
        <f t="shared" si="13"/>
        <v>14400</v>
      </c>
      <c r="S39" s="84"/>
      <c r="T39" s="84"/>
      <c r="U39" s="84"/>
    </row>
    <row r="40" spans="1:27" s="2" customFormat="1" x14ac:dyDescent="0.35">
      <c r="A40" s="66"/>
      <c r="B40" s="20" t="s">
        <v>82</v>
      </c>
      <c r="C40" s="75"/>
      <c r="D40" s="90" t="s">
        <v>83</v>
      </c>
      <c r="E40" s="68"/>
      <c r="F40" s="37">
        <v>186000</v>
      </c>
      <c r="G40" s="38">
        <v>164400</v>
      </c>
      <c r="H40" s="78">
        <v>1440</v>
      </c>
      <c r="I40" s="108">
        <v>0</v>
      </c>
      <c r="J40" s="80" t="e">
        <f>#REF!*20*#REF!</f>
        <v>#REF!</v>
      </c>
      <c r="K40" s="81" t="e">
        <f>#REF!*20*#REF!+#REF!*30*2</f>
        <v>#REF!</v>
      </c>
      <c r="L40" s="79">
        <v>360</v>
      </c>
      <c r="M40" s="80">
        <f t="shared" si="11"/>
        <v>360</v>
      </c>
      <c r="N40" s="80">
        <f t="shared" si="11"/>
        <v>360</v>
      </c>
      <c r="O40" s="82">
        <f t="shared" si="11"/>
        <v>360</v>
      </c>
      <c r="P40" s="83" t="e">
        <f t="shared" si="12"/>
        <v>#REF!</v>
      </c>
      <c r="Q40" s="83">
        <f t="shared" si="13"/>
        <v>1440</v>
      </c>
      <c r="S40" s="116"/>
      <c r="T40" s="84"/>
      <c r="U40" s="84"/>
      <c r="V40" s="1"/>
      <c r="W40" s="1"/>
      <c r="X40" s="1"/>
      <c r="Y40" s="1"/>
      <c r="Z40" s="1"/>
      <c r="AA40" s="1"/>
    </row>
    <row r="41" spans="1:27" x14ac:dyDescent="0.35">
      <c r="A41" s="66"/>
      <c r="B41" s="20" t="s">
        <v>84</v>
      </c>
      <c r="C41" s="75"/>
      <c r="D41" s="90" t="s">
        <v>85</v>
      </c>
      <c r="E41" s="68"/>
      <c r="F41" s="37">
        <v>49600</v>
      </c>
      <c r="G41" s="38">
        <v>33600</v>
      </c>
      <c r="H41" s="78">
        <v>9600</v>
      </c>
      <c r="I41" s="79">
        <v>0</v>
      </c>
      <c r="J41" s="91" t="e">
        <f>#REF!*#REF!</f>
        <v>#REF!</v>
      </c>
      <c r="K41" s="81" t="e">
        <f>#REF!*#REF!*#REF!*3</f>
        <v>#REF!</v>
      </c>
      <c r="L41" s="79">
        <v>2400</v>
      </c>
      <c r="M41" s="80">
        <f t="shared" si="11"/>
        <v>2400</v>
      </c>
      <c r="N41" s="80">
        <f t="shared" si="11"/>
        <v>2400</v>
      </c>
      <c r="O41" s="82">
        <f t="shared" si="11"/>
        <v>2400</v>
      </c>
      <c r="P41" s="83" t="e">
        <f t="shared" si="12"/>
        <v>#REF!</v>
      </c>
      <c r="Q41" s="83">
        <f t="shared" si="13"/>
        <v>9600</v>
      </c>
      <c r="S41" s="84"/>
      <c r="T41" s="84"/>
      <c r="U41" s="84"/>
    </row>
    <row r="42" spans="1:27" x14ac:dyDescent="0.35">
      <c r="A42" s="66"/>
      <c r="B42" s="20" t="s">
        <v>86</v>
      </c>
      <c r="C42" s="75"/>
      <c r="D42" s="90" t="s">
        <v>87</v>
      </c>
      <c r="E42" s="68"/>
      <c r="F42" s="37">
        <v>72000</v>
      </c>
      <c r="G42" s="38">
        <v>58000</v>
      </c>
      <c r="H42" s="78">
        <v>24000</v>
      </c>
      <c r="I42" s="79" t="e">
        <f>#REF!</f>
        <v>#REF!</v>
      </c>
      <c r="J42" s="80" t="e">
        <f>#REF!*#REF!</f>
        <v>#REF!</v>
      </c>
      <c r="K42" s="81" t="e">
        <f>#REF!*#REF!</f>
        <v>#REF!</v>
      </c>
      <c r="L42" s="79">
        <v>6000</v>
      </c>
      <c r="M42" s="80">
        <f t="shared" si="11"/>
        <v>6000</v>
      </c>
      <c r="N42" s="80">
        <f t="shared" si="11"/>
        <v>6000</v>
      </c>
      <c r="O42" s="82">
        <f t="shared" si="11"/>
        <v>6000</v>
      </c>
      <c r="P42" s="83" t="e">
        <f t="shared" si="12"/>
        <v>#REF!</v>
      </c>
      <c r="Q42" s="83">
        <f t="shared" si="13"/>
        <v>24000</v>
      </c>
      <c r="S42" s="84"/>
      <c r="T42" s="84"/>
      <c r="U42" s="84"/>
    </row>
    <row r="43" spans="1:27" x14ac:dyDescent="0.35">
      <c r="A43" s="66"/>
      <c r="B43" s="20" t="s">
        <v>88</v>
      </c>
      <c r="C43" s="75"/>
      <c r="D43" s="90" t="s">
        <v>89</v>
      </c>
      <c r="E43" s="68"/>
      <c r="F43" s="37">
        <v>43200</v>
      </c>
      <c r="G43" s="38">
        <v>34800</v>
      </c>
      <c r="H43" s="78">
        <v>14400</v>
      </c>
      <c r="I43" s="79" t="e">
        <f>#REF!</f>
        <v>#REF!</v>
      </c>
      <c r="J43" s="80" t="e">
        <f>#REF!*#REF!</f>
        <v>#REF!</v>
      </c>
      <c r="K43" s="81" t="e">
        <f>#REF!*#REF!</f>
        <v>#REF!</v>
      </c>
      <c r="L43" s="79">
        <v>3600</v>
      </c>
      <c r="M43" s="80">
        <f t="shared" si="11"/>
        <v>3600</v>
      </c>
      <c r="N43" s="80">
        <f t="shared" si="11"/>
        <v>3600</v>
      </c>
      <c r="O43" s="82">
        <f t="shared" si="11"/>
        <v>3600</v>
      </c>
      <c r="P43" s="83" t="e">
        <f t="shared" si="12"/>
        <v>#REF!</v>
      </c>
      <c r="Q43" s="83">
        <f t="shared" si="13"/>
        <v>14400</v>
      </c>
      <c r="S43" s="84"/>
      <c r="T43" s="84"/>
      <c r="U43" s="84"/>
    </row>
    <row r="44" spans="1:27" s="2" customFormat="1" ht="23" x14ac:dyDescent="0.35">
      <c r="A44" s="66"/>
      <c r="B44" s="20" t="s">
        <v>90</v>
      </c>
      <c r="C44" s="75"/>
      <c r="D44" s="90" t="s">
        <v>91</v>
      </c>
      <c r="E44" s="36" t="s">
        <v>92</v>
      </c>
      <c r="F44" s="37">
        <v>43200</v>
      </c>
      <c r="G44" s="38">
        <v>34800</v>
      </c>
      <c r="H44" s="78">
        <v>19200</v>
      </c>
      <c r="I44" s="108" t="e">
        <f>#REF!</f>
        <v>#REF!</v>
      </c>
      <c r="J44" s="80" t="e">
        <f>#REF!*#REF!</f>
        <v>#REF!</v>
      </c>
      <c r="K44" s="81" t="e">
        <f>#REF!*#REF!</f>
        <v>#REF!</v>
      </c>
      <c r="L44" s="79">
        <v>4800</v>
      </c>
      <c r="M44" s="80">
        <f t="shared" si="11"/>
        <v>4800</v>
      </c>
      <c r="N44" s="80">
        <f t="shared" si="11"/>
        <v>4800</v>
      </c>
      <c r="O44" s="82">
        <f t="shared" si="11"/>
        <v>4800</v>
      </c>
      <c r="P44" s="83" t="e">
        <f t="shared" si="12"/>
        <v>#REF!</v>
      </c>
      <c r="Q44" s="83">
        <f t="shared" si="13"/>
        <v>19200</v>
      </c>
      <c r="S44" s="116"/>
      <c r="T44" s="84"/>
      <c r="U44" s="84"/>
      <c r="V44" s="1"/>
      <c r="W44" s="1"/>
      <c r="X44" s="1"/>
      <c r="Y44" s="1"/>
      <c r="Z44" s="1"/>
      <c r="AA44" s="1"/>
    </row>
    <row r="45" spans="1:27" x14ac:dyDescent="0.35">
      <c r="A45" s="98"/>
      <c r="B45" s="67"/>
      <c r="C45" s="99"/>
      <c r="D45" s="109" t="s">
        <v>93</v>
      </c>
      <c r="E45" s="110"/>
      <c r="F45" s="111">
        <f>SUM(F36:F44)</f>
        <v>570400</v>
      </c>
      <c r="G45" s="111">
        <f>SUM(G36:G44)</f>
        <v>469200</v>
      </c>
      <c r="H45" s="111">
        <f t="shared" ref="H45:O45" si="14">SUM(H36:H44)</f>
        <v>113040</v>
      </c>
      <c r="I45" s="111" t="e">
        <f t="shared" si="14"/>
        <v>#REF!</v>
      </c>
      <c r="J45" s="111" t="e">
        <f t="shared" si="14"/>
        <v>#REF!</v>
      </c>
      <c r="K45" s="111" t="e">
        <f t="shared" si="14"/>
        <v>#REF!</v>
      </c>
      <c r="L45" s="111">
        <f t="shared" si="14"/>
        <v>28260</v>
      </c>
      <c r="M45" s="111">
        <f t="shared" si="14"/>
        <v>28260</v>
      </c>
      <c r="N45" s="111">
        <f t="shared" si="14"/>
        <v>28260</v>
      </c>
      <c r="O45" s="111">
        <f t="shared" si="14"/>
        <v>28260</v>
      </c>
      <c r="P45" s="112" t="e">
        <f>P36+P37+P38+P39+#REF!+P40+P41+P42+P43+P44</f>
        <v>#REF!</v>
      </c>
      <c r="Q45" s="112">
        <f>Q36+Q37+Q38+Q39+Q40+Q41+Q42+Q43+Q44</f>
        <v>113040</v>
      </c>
      <c r="S45" s="84"/>
      <c r="T45" s="84"/>
      <c r="U45" s="84"/>
    </row>
    <row r="46" spans="1:27" x14ac:dyDescent="0.35">
      <c r="A46" s="104" t="s">
        <v>94</v>
      </c>
      <c r="B46" s="67" t="s">
        <v>95</v>
      </c>
      <c r="C46" s="113"/>
      <c r="D46" s="22" t="s">
        <v>96</v>
      </c>
      <c r="E46" s="86"/>
      <c r="F46" s="87"/>
      <c r="G46" s="114"/>
      <c r="H46" s="115"/>
      <c r="I46" s="93"/>
      <c r="J46" s="94"/>
      <c r="K46" s="95"/>
      <c r="L46" s="93"/>
      <c r="M46" s="94"/>
      <c r="N46" s="94"/>
      <c r="O46" s="96"/>
      <c r="P46" s="89"/>
      <c r="Q46" s="89"/>
      <c r="S46" s="84"/>
      <c r="T46" s="84"/>
      <c r="U46" s="84"/>
    </row>
    <row r="47" spans="1:27" x14ac:dyDescent="0.35">
      <c r="A47" s="117"/>
      <c r="B47" s="67" t="s">
        <v>21</v>
      </c>
      <c r="C47" s="34"/>
      <c r="D47" s="35" t="s">
        <v>97</v>
      </c>
      <c r="E47" s="68"/>
      <c r="F47" s="37"/>
      <c r="G47" s="38"/>
      <c r="H47" s="78"/>
      <c r="I47" s="79"/>
      <c r="J47" s="80"/>
      <c r="K47" s="81"/>
      <c r="L47" s="79"/>
      <c r="M47" s="80"/>
      <c r="N47" s="80"/>
      <c r="O47" s="82"/>
      <c r="P47" s="83"/>
      <c r="Q47" s="83"/>
      <c r="S47" s="84"/>
      <c r="T47" s="84"/>
      <c r="U47" s="84"/>
    </row>
    <row r="48" spans="1:27" ht="23" x14ac:dyDescent="0.35">
      <c r="A48" s="66"/>
      <c r="B48" s="20" t="s">
        <v>98</v>
      </c>
      <c r="C48" s="75"/>
      <c r="D48" s="90" t="s">
        <v>99</v>
      </c>
      <c r="E48" s="214" t="s">
        <v>100</v>
      </c>
      <c r="F48" s="37">
        <v>40000</v>
      </c>
      <c r="G48" s="38">
        <v>40000</v>
      </c>
      <c r="H48" s="78">
        <v>29333</v>
      </c>
      <c r="I48" s="79">
        <v>0</v>
      </c>
      <c r="J48" s="80">
        <v>0</v>
      </c>
      <c r="K48" s="81">
        <v>0</v>
      </c>
      <c r="L48" s="79">
        <v>0</v>
      </c>
      <c r="M48" s="80">
        <v>0</v>
      </c>
      <c r="N48" s="80">
        <v>16000</v>
      </c>
      <c r="O48" s="82">
        <f>13332+1</f>
        <v>13333</v>
      </c>
      <c r="P48" s="83">
        <f>SUM(I48:K48)</f>
        <v>0</v>
      </c>
      <c r="Q48" s="83">
        <f t="shared" ref="Q48:Q55" si="15">SUM(L48:O48)</f>
        <v>29333</v>
      </c>
      <c r="S48" s="84"/>
      <c r="T48" s="84"/>
      <c r="U48" s="84"/>
    </row>
    <row r="49" spans="1:21" x14ac:dyDescent="0.35">
      <c r="A49" s="66"/>
      <c r="B49" s="20" t="s">
        <v>101</v>
      </c>
      <c r="C49" s="75"/>
      <c r="D49" s="90" t="s">
        <v>102</v>
      </c>
      <c r="E49" s="215"/>
      <c r="F49" s="37">
        <v>20000</v>
      </c>
      <c r="G49" s="38">
        <v>5000</v>
      </c>
      <c r="H49" s="78">
        <v>5000</v>
      </c>
      <c r="I49" s="118">
        <v>0</v>
      </c>
      <c r="J49" s="119">
        <v>0</v>
      </c>
      <c r="K49" s="120">
        <v>15000</v>
      </c>
      <c r="L49" s="118">
        <v>0</v>
      </c>
      <c r="M49" s="119">
        <v>2500</v>
      </c>
      <c r="N49" s="119">
        <v>2500</v>
      </c>
      <c r="O49" s="121">
        <v>0</v>
      </c>
      <c r="P49" s="122">
        <f t="shared" ref="P49:P55" si="16">SUM(I49:K49)</f>
        <v>15000</v>
      </c>
      <c r="Q49" s="122">
        <f t="shared" si="15"/>
        <v>5000</v>
      </c>
      <c r="S49" s="84"/>
      <c r="T49" s="84"/>
      <c r="U49" s="84"/>
    </row>
    <row r="50" spans="1:21" x14ac:dyDescent="0.35">
      <c r="A50" s="66"/>
      <c r="B50" s="20" t="s">
        <v>103</v>
      </c>
      <c r="C50" s="75"/>
      <c r="D50" s="90" t="s">
        <v>104</v>
      </c>
      <c r="E50" s="215"/>
      <c r="F50" s="37">
        <v>10000</v>
      </c>
      <c r="G50" s="38">
        <v>5000</v>
      </c>
      <c r="H50" s="78">
        <f>Q50</f>
        <v>1000</v>
      </c>
      <c r="I50" s="118">
        <v>0</v>
      </c>
      <c r="J50" s="119">
        <v>0</v>
      </c>
      <c r="K50" s="120">
        <v>5000</v>
      </c>
      <c r="L50" s="118">
        <v>0</v>
      </c>
      <c r="M50" s="119">
        <v>0</v>
      </c>
      <c r="N50" s="119">
        <f>10%*F50</f>
        <v>1000</v>
      </c>
      <c r="O50" s="121">
        <v>0</v>
      </c>
      <c r="P50" s="122">
        <f t="shared" si="16"/>
        <v>5000</v>
      </c>
      <c r="Q50" s="122">
        <f t="shared" si="15"/>
        <v>1000</v>
      </c>
      <c r="S50" s="84"/>
      <c r="T50" s="84"/>
      <c r="U50" s="84"/>
    </row>
    <row r="51" spans="1:21" x14ac:dyDescent="0.35">
      <c r="A51" s="66"/>
      <c r="B51" s="20" t="s">
        <v>105</v>
      </c>
      <c r="C51" s="75"/>
      <c r="D51" s="90" t="s">
        <v>106</v>
      </c>
      <c r="E51" s="215"/>
      <c r="F51" s="37">
        <v>36000</v>
      </c>
      <c r="G51" s="38">
        <v>32000</v>
      </c>
      <c r="H51" s="78">
        <v>8000</v>
      </c>
      <c r="I51" s="118">
        <v>0</v>
      </c>
      <c r="J51" s="123"/>
      <c r="K51" s="120" t="e">
        <f>#REF!*#REF!</f>
        <v>#REF!</v>
      </c>
      <c r="L51" s="118">
        <f>F51*4/36</f>
        <v>4000</v>
      </c>
      <c r="M51" s="119">
        <f>F51*4/36</f>
        <v>4000</v>
      </c>
      <c r="N51" s="119">
        <v>0</v>
      </c>
      <c r="O51" s="121">
        <v>0</v>
      </c>
      <c r="P51" s="122" t="e">
        <f>SUM(I51:K51)</f>
        <v>#REF!</v>
      </c>
      <c r="Q51" s="122">
        <f t="shared" si="15"/>
        <v>8000</v>
      </c>
      <c r="S51" s="84"/>
      <c r="T51" s="84"/>
      <c r="U51" s="84"/>
    </row>
    <row r="52" spans="1:21" x14ac:dyDescent="0.35">
      <c r="A52" s="66"/>
      <c r="B52" s="20" t="s">
        <v>107</v>
      </c>
      <c r="C52" s="75"/>
      <c r="D52" s="90" t="s">
        <v>108</v>
      </c>
      <c r="E52" s="215"/>
      <c r="F52" s="37">
        <v>18000</v>
      </c>
      <c r="G52" s="38">
        <v>16000</v>
      </c>
      <c r="H52" s="78">
        <v>8000</v>
      </c>
      <c r="I52" s="118">
        <v>0</v>
      </c>
      <c r="J52" s="124"/>
      <c r="K52" s="120" t="e">
        <f>#REF!*#REF!</f>
        <v>#REF!</v>
      </c>
      <c r="L52" s="118">
        <v>0</v>
      </c>
      <c r="M52" s="119">
        <v>4000</v>
      </c>
      <c r="N52" s="119">
        <v>0</v>
      </c>
      <c r="O52" s="121">
        <f>M52</f>
        <v>4000</v>
      </c>
      <c r="P52" s="122" t="e">
        <f>SUM(I52:K52)</f>
        <v>#REF!</v>
      </c>
      <c r="Q52" s="122">
        <f t="shared" si="15"/>
        <v>8000</v>
      </c>
      <c r="S52" s="84"/>
      <c r="T52" s="84"/>
      <c r="U52" s="84"/>
    </row>
    <row r="53" spans="1:21" x14ac:dyDescent="0.35">
      <c r="A53" s="66"/>
      <c r="B53" s="20" t="s">
        <v>109</v>
      </c>
      <c r="C53" s="75"/>
      <c r="D53" s="90" t="s">
        <v>110</v>
      </c>
      <c r="E53" s="215"/>
      <c r="F53" s="37">
        <v>10000</v>
      </c>
      <c r="G53" s="38">
        <v>0</v>
      </c>
      <c r="H53" s="78">
        <v>4000</v>
      </c>
      <c r="I53" s="79">
        <v>0</v>
      </c>
      <c r="J53" s="80">
        <v>0</v>
      </c>
      <c r="K53" s="81" t="e">
        <f>#REF!*#REF!</f>
        <v>#REF!</v>
      </c>
      <c r="L53" s="79">
        <v>0</v>
      </c>
      <c r="M53" s="80">
        <v>2000</v>
      </c>
      <c r="N53" s="80">
        <v>0</v>
      </c>
      <c r="O53" s="82">
        <f>M53</f>
        <v>2000</v>
      </c>
      <c r="P53" s="83" t="e">
        <f t="shared" si="16"/>
        <v>#REF!</v>
      </c>
      <c r="Q53" s="83">
        <f t="shared" si="15"/>
        <v>4000</v>
      </c>
      <c r="S53" s="84"/>
      <c r="T53" s="84"/>
      <c r="U53" s="84"/>
    </row>
    <row r="54" spans="1:21" ht="23" x14ac:dyDescent="0.35">
      <c r="A54" s="66"/>
      <c r="B54" s="20" t="s">
        <v>111</v>
      </c>
      <c r="C54" s="75"/>
      <c r="D54" s="90" t="s">
        <v>112</v>
      </c>
      <c r="E54" s="215"/>
      <c r="F54" s="37">
        <v>15000</v>
      </c>
      <c r="G54" s="38">
        <v>10000</v>
      </c>
      <c r="H54" s="78">
        <f>Q54</f>
        <v>16000</v>
      </c>
      <c r="I54" s="79">
        <v>0</v>
      </c>
      <c r="J54" s="80" t="e">
        <f>#REF!</f>
        <v>#REF!</v>
      </c>
      <c r="K54" s="81">
        <v>0</v>
      </c>
      <c r="L54" s="79">
        <v>0</v>
      </c>
      <c r="M54" s="80">
        <v>8000</v>
      </c>
      <c r="N54" s="80">
        <v>0</v>
      </c>
      <c r="O54" s="82">
        <f>M54</f>
        <v>8000</v>
      </c>
      <c r="P54" s="83" t="e">
        <f t="shared" si="16"/>
        <v>#REF!</v>
      </c>
      <c r="Q54" s="83">
        <f t="shared" si="15"/>
        <v>16000</v>
      </c>
      <c r="S54" s="84"/>
      <c r="T54" s="84"/>
      <c r="U54" s="84"/>
    </row>
    <row r="55" spans="1:21" s="2" customFormat="1" x14ac:dyDescent="0.35">
      <c r="A55" s="66"/>
      <c r="B55" s="20" t="s">
        <v>113</v>
      </c>
      <c r="C55" s="75"/>
      <c r="D55" s="90" t="s">
        <v>114</v>
      </c>
      <c r="E55" s="216"/>
      <c r="F55" s="37">
        <v>60000</v>
      </c>
      <c r="G55" s="38">
        <v>28000</v>
      </c>
      <c r="H55" s="78">
        <f>Q55</f>
        <v>12000</v>
      </c>
      <c r="I55" s="108">
        <v>0</v>
      </c>
      <c r="J55" s="91">
        <v>20000</v>
      </c>
      <c r="K55" s="125">
        <v>12000</v>
      </c>
      <c r="L55" s="108">
        <v>3000</v>
      </c>
      <c r="M55" s="91">
        <f>L55</f>
        <v>3000</v>
      </c>
      <c r="N55" s="91">
        <f>M55</f>
        <v>3000</v>
      </c>
      <c r="O55" s="126">
        <f>N55</f>
        <v>3000</v>
      </c>
      <c r="P55" s="127">
        <f t="shared" si="16"/>
        <v>32000</v>
      </c>
      <c r="Q55" s="127">
        <f t="shared" si="15"/>
        <v>12000</v>
      </c>
      <c r="S55" s="116"/>
      <c r="T55" s="116"/>
      <c r="U55" s="116"/>
    </row>
    <row r="56" spans="1:21" ht="23" x14ac:dyDescent="0.35">
      <c r="A56" s="104"/>
      <c r="B56" s="67"/>
      <c r="C56" s="113"/>
      <c r="D56" s="22" t="s">
        <v>115</v>
      </c>
      <c r="E56" s="86"/>
      <c r="F56" s="87">
        <f>SUM(F48:F55)</f>
        <v>209000</v>
      </c>
      <c r="G56" s="87">
        <f>SUM(G48:G55)</f>
        <v>136000</v>
      </c>
      <c r="H56" s="87">
        <f t="shared" ref="H56:O56" si="17">SUM(H48:H55)</f>
        <v>83333</v>
      </c>
      <c r="I56" s="87">
        <f t="shared" si="17"/>
        <v>0</v>
      </c>
      <c r="J56" s="87" t="e">
        <f t="shared" si="17"/>
        <v>#REF!</v>
      </c>
      <c r="K56" s="87" t="e">
        <f t="shared" si="17"/>
        <v>#REF!</v>
      </c>
      <c r="L56" s="87">
        <f t="shared" si="17"/>
        <v>7000</v>
      </c>
      <c r="M56" s="87">
        <f t="shared" si="17"/>
        <v>23500</v>
      </c>
      <c r="N56" s="87">
        <f t="shared" si="17"/>
        <v>22500</v>
      </c>
      <c r="O56" s="87">
        <f t="shared" si="17"/>
        <v>30333</v>
      </c>
      <c r="P56" s="89" t="e">
        <f>P48+P49+P50+P52+P51+P53+P54+P55</f>
        <v>#REF!</v>
      </c>
      <c r="Q56" s="89">
        <f>Q48+Q49+Q50+Q52+Q51+Q53+Q54+Q55</f>
        <v>83333</v>
      </c>
      <c r="S56" s="84"/>
      <c r="T56" s="84"/>
      <c r="U56" s="84"/>
    </row>
    <row r="57" spans="1:21" ht="23" x14ac:dyDescent="0.35">
      <c r="A57" s="117"/>
      <c r="B57" s="67" t="s">
        <v>116</v>
      </c>
      <c r="C57" s="34"/>
      <c r="D57" s="35" t="s">
        <v>117</v>
      </c>
      <c r="E57" s="68"/>
      <c r="F57" s="128"/>
      <c r="G57" s="129"/>
      <c r="H57" s="78"/>
      <c r="I57" s="79"/>
      <c r="J57" s="80"/>
      <c r="K57" s="81"/>
      <c r="L57" s="79"/>
      <c r="M57" s="80"/>
      <c r="N57" s="80"/>
      <c r="O57" s="82"/>
      <c r="P57" s="83"/>
      <c r="Q57" s="83"/>
      <c r="S57" s="84"/>
      <c r="T57" s="84"/>
      <c r="U57" s="84"/>
    </row>
    <row r="58" spans="1:21" x14ac:dyDescent="0.35">
      <c r="A58" s="66"/>
      <c r="B58" s="20" t="s">
        <v>118</v>
      </c>
      <c r="C58" s="75"/>
      <c r="D58" s="90" t="s">
        <v>119</v>
      </c>
      <c r="E58" s="68"/>
      <c r="F58" s="37">
        <v>49600</v>
      </c>
      <c r="G58" s="38">
        <v>46400</v>
      </c>
      <c r="H58" s="78">
        <v>19200</v>
      </c>
      <c r="I58" s="79">
        <v>0</v>
      </c>
      <c r="J58" s="80">
        <v>0</v>
      </c>
      <c r="K58" s="81" t="e">
        <f>#REF!*#REF!*2</f>
        <v>#REF!</v>
      </c>
      <c r="L58" s="79">
        <v>4800</v>
      </c>
      <c r="M58" s="80">
        <f>L58</f>
        <v>4800</v>
      </c>
      <c r="N58" s="80">
        <f>M58</f>
        <v>4800</v>
      </c>
      <c r="O58" s="82">
        <f>N58</f>
        <v>4800</v>
      </c>
      <c r="P58" s="83" t="e">
        <f>SUM(I58:K58)</f>
        <v>#REF!</v>
      </c>
      <c r="Q58" s="83">
        <f>SUM(L58:O58)</f>
        <v>19200</v>
      </c>
      <c r="S58" s="84"/>
      <c r="T58" s="84"/>
      <c r="U58" s="84"/>
    </row>
    <row r="59" spans="1:21" x14ac:dyDescent="0.35">
      <c r="A59" s="66"/>
      <c r="B59" s="20" t="s">
        <v>120</v>
      </c>
      <c r="C59" s="75"/>
      <c r="D59" s="90" t="s">
        <v>121</v>
      </c>
      <c r="E59" s="68"/>
      <c r="F59" s="37">
        <v>6000</v>
      </c>
      <c r="G59" s="38">
        <v>4000</v>
      </c>
      <c r="H59" s="78">
        <f>Q59</f>
        <v>2000</v>
      </c>
      <c r="I59" s="79">
        <v>0</v>
      </c>
      <c r="J59" s="80">
        <v>0</v>
      </c>
      <c r="K59" s="81" t="e">
        <f>#REF!*#REF!</f>
        <v>#REF!</v>
      </c>
      <c r="L59" s="79">
        <v>0</v>
      </c>
      <c r="M59" s="80">
        <v>0</v>
      </c>
      <c r="N59" s="80">
        <v>2000</v>
      </c>
      <c r="O59" s="82">
        <v>0</v>
      </c>
      <c r="P59" s="83" t="e">
        <f t="shared" ref="P59:P66" si="18">SUM(I59:K59)</f>
        <v>#REF!</v>
      </c>
      <c r="Q59" s="83">
        <f t="shared" ref="Q59:Q65" si="19">SUM(L59:O59)</f>
        <v>2000</v>
      </c>
      <c r="S59" s="84"/>
      <c r="T59" s="84"/>
      <c r="U59" s="84"/>
    </row>
    <row r="60" spans="1:21" ht="23" x14ac:dyDescent="0.35">
      <c r="A60" s="66"/>
      <c r="B60" s="20" t="s">
        <v>122</v>
      </c>
      <c r="C60" s="75"/>
      <c r="D60" s="90" t="s">
        <v>123</v>
      </c>
      <c r="E60" s="68"/>
      <c r="F60" s="37">
        <v>49600</v>
      </c>
      <c r="G60" s="38">
        <v>46400</v>
      </c>
      <c r="H60" s="78">
        <v>19200</v>
      </c>
      <c r="I60" s="79">
        <v>0</v>
      </c>
      <c r="J60" s="80">
        <v>0</v>
      </c>
      <c r="K60" s="81" t="e">
        <f>#REF!*#REF!*2</f>
        <v>#REF!</v>
      </c>
      <c r="L60" s="79">
        <v>4800</v>
      </c>
      <c r="M60" s="80">
        <f t="shared" ref="M60:O64" si="20">L60</f>
        <v>4800</v>
      </c>
      <c r="N60" s="80">
        <f t="shared" si="20"/>
        <v>4800</v>
      </c>
      <c r="O60" s="82">
        <f t="shared" si="20"/>
        <v>4800</v>
      </c>
      <c r="P60" s="83" t="e">
        <f t="shared" si="18"/>
        <v>#REF!</v>
      </c>
      <c r="Q60" s="83">
        <f t="shared" si="19"/>
        <v>19200</v>
      </c>
      <c r="S60" s="84"/>
      <c r="T60" s="84"/>
      <c r="U60" s="84"/>
    </row>
    <row r="61" spans="1:21" ht="34.5" x14ac:dyDescent="0.35">
      <c r="A61" s="66"/>
      <c r="B61" s="20" t="s">
        <v>124</v>
      </c>
      <c r="C61" s="75"/>
      <c r="D61" s="90" t="s">
        <v>125</v>
      </c>
      <c r="E61" s="68"/>
      <c r="F61" s="37">
        <v>18000</v>
      </c>
      <c r="G61" s="38">
        <v>15500</v>
      </c>
      <c r="H61" s="78">
        <v>6000</v>
      </c>
      <c r="I61" s="79">
        <v>0</v>
      </c>
      <c r="J61" s="80">
        <v>0</v>
      </c>
      <c r="K61" s="81" t="e">
        <f>#REF!*#REF!*5/12</f>
        <v>#REF!</v>
      </c>
      <c r="L61" s="79">
        <v>1500</v>
      </c>
      <c r="M61" s="80">
        <f t="shared" si="20"/>
        <v>1500</v>
      </c>
      <c r="N61" s="80">
        <f t="shared" si="20"/>
        <v>1500</v>
      </c>
      <c r="O61" s="82">
        <f t="shared" si="20"/>
        <v>1500</v>
      </c>
      <c r="P61" s="83" t="e">
        <f t="shared" si="18"/>
        <v>#REF!</v>
      </c>
      <c r="Q61" s="83">
        <f t="shared" si="19"/>
        <v>6000</v>
      </c>
      <c r="S61" s="84"/>
      <c r="T61" s="84"/>
      <c r="U61" s="84"/>
    </row>
    <row r="62" spans="1:21" ht="23" x14ac:dyDescent="0.35">
      <c r="A62" s="66"/>
      <c r="B62" s="20" t="s">
        <v>126</v>
      </c>
      <c r="C62" s="75"/>
      <c r="D62" s="90" t="s">
        <v>127</v>
      </c>
      <c r="E62" s="68"/>
      <c r="F62" s="37">
        <v>12000</v>
      </c>
      <c r="G62" s="38">
        <v>10333</v>
      </c>
      <c r="H62" s="78">
        <v>4000</v>
      </c>
      <c r="I62" s="79">
        <v>0</v>
      </c>
      <c r="J62" s="80">
        <v>0</v>
      </c>
      <c r="K62" s="81" t="e">
        <f>#REF!*#REF!*5/12</f>
        <v>#REF!</v>
      </c>
      <c r="L62" s="79">
        <v>1000</v>
      </c>
      <c r="M62" s="80">
        <f t="shared" si="20"/>
        <v>1000</v>
      </c>
      <c r="N62" s="80">
        <f t="shared" si="20"/>
        <v>1000</v>
      </c>
      <c r="O62" s="82">
        <f t="shared" si="20"/>
        <v>1000</v>
      </c>
      <c r="P62" s="83" t="e">
        <f t="shared" si="18"/>
        <v>#REF!</v>
      </c>
      <c r="Q62" s="83">
        <f t="shared" si="19"/>
        <v>4000</v>
      </c>
      <c r="S62" s="84"/>
      <c r="T62" s="84"/>
      <c r="U62" s="84"/>
    </row>
    <row r="63" spans="1:21" ht="34.5" x14ac:dyDescent="0.35">
      <c r="A63" s="66"/>
      <c r="B63" s="20" t="s">
        <v>128</v>
      </c>
      <c r="C63" s="75"/>
      <c r="D63" s="90" t="s">
        <v>129</v>
      </c>
      <c r="E63" s="68"/>
      <c r="F63" s="37">
        <v>22500</v>
      </c>
      <c r="G63" s="38">
        <v>19375</v>
      </c>
      <c r="H63" s="78">
        <v>7500</v>
      </c>
      <c r="I63" s="79">
        <v>0</v>
      </c>
      <c r="J63" s="80">
        <v>0</v>
      </c>
      <c r="K63" s="81" t="e">
        <f>#REF!*#REF!*5/12</f>
        <v>#REF!</v>
      </c>
      <c r="L63" s="79">
        <v>1875</v>
      </c>
      <c r="M63" s="80">
        <f t="shared" si="20"/>
        <v>1875</v>
      </c>
      <c r="N63" s="80">
        <f t="shared" si="20"/>
        <v>1875</v>
      </c>
      <c r="O63" s="82">
        <f t="shared" si="20"/>
        <v>1875</v>
      </c>
      <c r="P63" s="83" t="e">
        <f t="shared" si="18"/>
        <v>#REF!</v>
      </c>
      <c r="Q63" s="83">
        <f t="shared" si="19"/>
        <v>7500</v>
      </c>
      <c r="S63" s="84"/>
      <c r="T63" s="84"/>
      <c r="U63" s="84"/>
    </row>
    <row r="64" spans="1:21" ht="23" x14ac:dyDescent="0.35">
      <c r="A64" s="66"/>
      <c r="B64" s="20" t="s">
        <v>130</v>
      </c>
      <c r="C64" s="75"/>
      <c r="D64" s="90" t="s">
        <v>131</v>
      </c>
      <c r="E64" s="68"/>
      <c r="F64" s="37">
        <v>27000</v>
      </c>
      <c r="G64" s="38">
        <v>18900</v>
      </c>
      <c r="H64" s="78">
        <f>Q64</f>
        <v>16000</v>
      </c>
      <c r="I64" s="79">
        <v>0</v>
      </c>
      <c r="J64" s="80">
        <v>0</v>
      </c>
      <c r="K64" s="81">
        <v>8100</v>
      </c>
      <c r="L64" s="79">
        <v>4000</v>
      </c>
      <c r="M64" s="80">
        <f t="shared" si="20"/>
        <v>4000</v>
      </c>
      <c r="N64" s="80">
        <f t="shared" si="20"/>
        <v>4000</v>
      </c>
      <c r="O64" s="82">
        <f t="shared" si="20"/>
        <v>4000</v>
      </c>
      <c r="P64" s="83">
        <f>SUM(I64:K64)</f>
        <v>8100</v>
      </c>
      <c r="Q64" s="83">
        <f t="shared" si="19"/>
        <v>16000</v>
      </c>
      <c r="S64" s="84"/>
      <c r="T64" s="84"/>
      <c r="U64" s="84"/>
    </row>
    <row r="65" spans="1:27" ht="23" x14ac:dyDescent="0.35">
      <c r="A65" s="66"/>
      <c r="B65" s="20" t="s">
        <v>132</v>
      </c>
      <c r="C65" s="75"/>
      <c r="D65" s="90" t="s">
        <v>133</v>
      </c>
      <c r="E65" s="68" t="s">
        <v>134</v>
      </c>
      <c r="F65" s="37">
        <v>14400</v>
      </c>
      <c r="G65" s="38">
        <v>14400</v>
      </c>
      <c r="H65" s="78">
        <v>14400</v>
      </c>
      <c r="I65" s="79">
        <v>0</v>
      </c>
      <c r="J65" s="80">
        <v>0</v>
      </c>
      <c r="K65" s="81">
        <v>0</v>
      </c>
      <c r="L65" s="79">
        <v>0</v>
      </c>
      <c r="M65" s="80">
        <v>0</v>
      </c>
      <c r="N65" s="80">
        <v>14400</v>
      </c>
      <c r="O65" s="82">
        <v>0</v>
      </c>
      <c r="P65" s="83">
        <f t="shared" si="18"/>
        <v>0</v>
      </c>
      <c r="Q65" s="83">
        <f t="shared" si="19"/>
        <v>14400</v>
      </c>
      <c r="S65" s="116"/>
      <c r="T65" s="84"/>
      <c r="U65" s="84"/>
    </row>
    <row r="66" spans="1:27" x14ac:dyDescent="0.35">
      <c r="A66" s="66"/>
      <c r="B66" s="20" t="s">
        <v>135</v>
      </c>
      <c r="C66" s="75"/>
      <c r="D66" s="90" t="s">
        <v>136</v>
      </c>
      <c r="E66" s="68"/>
      <c r="F66" s="37">
        <v>24000</v>
      </c>
      <c r="G66" s="38">
        <v>20000</v>
      </c>
      <c r="H66" s="78">
        <v>4000</v>
      </c>
      <c r="I66" s="79">
        <v>0</v>
      </c>
      <c r="J66" s="80">
        <v>0</v>
      </c>
      <c r="K66" s="81" t="e">
        <f>#REF!*#REF!</f>
        <v>#REF!</v>
      </c>
      <c r="L66" s="79">
        <v>0</v>
      </c>
      <c r="M66" s="80">
        <v>0</v>
      </c>
      <c r="N66" s="80">
        <v>2000</v>
      </c>
      <c r="O66" s="82">
        <f>N66</f>
        <v>2000</v>
      </c>
      <c r="P66" s="83" t="e">
        <f t="shared" si="18"/>
        <v>#REF!</v>
      </c>
      <c r="Q66" s="83">
        <f>SUM(L66:O66)</f>
        <v>4000</v>
      </c>
      <c r="S66" s="116"/>
      <c r="T66" s="84"/>
      <c r="U66" s="84"/>
    </row>
    <row r="67" spans="1:27" ht="23" x14ac:dyDescent="0.35">
      <c r="A67" s="104"/>
      <c r="B67" s="67"/>
      <c r="C67" s="113"/>
      <c r="D67" s="22" t="s">
        <v>137</v>
      </c>
      <c r="E67" s="86"/>
      <c r="F67" s="87">
        <f>SUM(F58:F66)</f>
        <v>223100</v>
      </c>
      <c r="G67" s="87">
        <f>SUM(G58:G66)</f>
        <v>195308</v>
      </c>
      <c r="H67" s="87">
        <f t="shared" ref="H67:P67" si="21">SUM(H58:H66)</f>
        <v>92300</v>
      </c>
      <c r="I67" s="87">
        <f t="shared" si="21"/>
        <v>0</v>
      </c>
      <c r="J67" s="87">
        <f t="shared" si="21"/>
        <v>0</v>
      </c>
      <c r="K67" s="87" t="e">
        <f t="shared" si="21"/>
        <v>#REF!</v>
      </c>
      <c r="L67" s="87">
        <f t="shared" si="21"/>
        <v>17975</v>
      </c>
      <c r="M67" s="87">
        <f t="shared" si="21"/>
        <v>17975</v>
      </c>
      <c r="N67" s="87">
        <f t="shared" si="21"/>
        <v>36375</v>
      </c>
      <c r="O67" s="87">
        <f t="shared" si="21"/>
        <v>19975</v>
      </c>
      <c r="P67" s="87" t="e">
        <f t="shared" si="21"/>
        <v>#REF!</v>
      </c>
      <c r="Q67" s="89">
        <f>Q58+Q59+Q60+Q61+Q62+Q63+Q64+Q65+Q66</f>
        <v>92300</v>
      </c>
      <c r="S67" s="116"/>
      <c r="T67" s="84"/>
      <c r="U67" s="84"/>
    </row>
    <row r="68" spans="1:27" x14ac:dyDescent="0.35">
      <c r="A68" s="117"/>
      <c r="B68" s="67" t="s">
        <v>138</v>
      </c>
      <c r="C68" s="34"/>
      <c r="D68" s="35" t="s">
        <v>139</v>
      </c>
      <c r="E68" s="68"/>
      <c r="F68" s="128"/>
      <c r="G68" s="129"/>
      <c r="H68" s="78"/>
      <c r="I68" s="79"/>
      <c r="J68" s="80"/>
      <c r="K68" s="81"/>
      <c r="L68" s="79"/>
      <c r="M68" s="80"/>
      <c r="N68" s="80"/>
      <c r="O68" s="82"/>
      <c r="P68" s="83"/>
      <c r="Q68" s="83"/>
      <c r="S68" s="116"/>
      <c r="T68" s="84"/>
      <c r="U68" s="84"/>
    </row>
    <row r="69" spans="1:27" x14ac:dyDescent="0.35">
      <c r="A69" s="66"/>
      <c r="B69" s="20"/>
      <c r="C69" s="75"/>
      <c r="D69" s="90" t="s">
        <v>140</v>
      </c>
      <c r="E69" s="68"/>
      <c r="F69" s="37"/>
      <c r="G69" s="38"/>
      <c r="H69" s="78"/>
      <c r="I69" s="79"/>
      <c r="J69" s="80"/>
      <c r="K69" s="81"/>
      <c r="L69" s="79"/>
      <c r="M69" s="80"/>
      <c r="N69" s="80"/>
      <c r="O69" s="82"/>
      <c r="P69" s="83"/>
      <c r="Q69" s="83"/>
      <c r="S69" s="116"/>
      <c r="T69" s="84"/>
      <c r="U69" s="84"/>
    </row>
    <row r="70" spans="1:27" s="2" customFormat="1" ht="46" x14ac:dyDescent="0.35">
      <c r="A70" s="66"/>
      <c r="B70" s="20" t="s">
        <v>141</v>
      </c>
      <c r="C70" s="75" t="s">
        <v>142</v>
      </c>
      <c r="D70" s="90" t="s">
        <v>143</v>
      </c>
      <c r="E70" s="130" t="s">
        <v>144</v>
      </c>
      <c r="F70" s="37">
        <v>600000</v>
      </c>
      <c r="G70" s="38">
        <v>540000</v>
      </c>
      <c r="H70" s="78">
        <f>Q70</f>
        <v>40000</v>
      </c>
      <c r="I70" s="108">
        <v>0</v>
      </c>
      <c r="J70" s="91">
        <v>0</v>
      </c>
      <c r="K70" s="125">
        <v>60000</v>
      </c>
      <c r="L70" s="108">
        <f>100*400/4</f>
        <v>10000</v>
      </c>
      <c r="M70" s="91">
        <f t="shared" ref="M70:O71" si="22">L70</f>
        <v>10000</v>
      </c>
      <c r="N70" s="91">
        <f t="shared" si="22"/>
        <v>10000</v>
      </c>
      <c r="O70" s="126">
        <f t="shared" si="22"/>
        <v>10000</v>
      </c>
      <c r="P70" s="127">
        <f>SUM(I70:K70)</f>
        <v>60000</v>
      </c>
      <c r="Q70" s="127">
        <f>SUM(L70:O70)</f>
        <v>40000</v>
      </c>
      <c r="S70" s="116"/>
      <c r="T70" s="116"/>
      <c r="U70" s="116"/>
    </row>
    <row r="71" spans="1:27" s="2" customFormat="1" ht="30" x14ac:dyDescent="0.35">
      <c r="A71" s="66"/>
      <c r="B71" s="20" t="s">
        <v>145</v>
      </c>
      <c r="C71" s="75" t="s">
        <v>142</v>
      </c>
      <c r="D71" s="90" t="s">
        <v>146</v>
      </c>
      <c r="E71" s="36"/>
      <c r="F71" s="37">
        <v>1000000</v>
      </c>
      <c r="G71" s="38">
        <v>950000</v>
      </c>
      <c r="H71" s="78">
        <v>250000</v>
      </c>
      <c r="I71" s="108">
        <v>0</v>
      </c>
      <c r="J71" s="91">
        <v>0</v>
      </c>
      <c r="K71" s="125">
        <v>50000</v>
      </c>
      <c r="L71" s="108">
        <v>62500</v>
      </c>
      <c r="M71" s="91">
        <f t="shared" si="22"/>
        <v>62500</v>
      </c>
      <c r="N71" s="91">
        <f t="shared" si="22"/>
        <v>62500</v>
      </c>
      <c r="O71" s="126">
        <f t="shared" si="22"/>
        <v>62500</v>
      </c>
      <c r="P71" s="127">
        <f>SUM(I71:K71)</f>
        <v>50000</v>
      </c>
      <c r="Q71" s="127">
        <f>SUM(L71:O71)</f>
        <v>250000</v>
      </c>
      <c r="S71" s="116"/>
      <c r="T71" s="116"/>
      <c r="U71" s="116"/>
    </row>
    <row r="72" spans="1:27" s="2" customFormat="1" ht="30" x14ac:dyDescent="0.35">
      <c r="A72" s="66"/>
      <c r="B72" s="20" t="s">
        <v>147</v>
      </c>
      <c r="C72" s="75" t="s">
        <v>142</v>
      </c>
      <c r="D72" s="90" t="s">
        <v>148</v>
      </c>
      <c r="E72" s="36" t="s">
        <v>149</v>
      </c>
      <c r="F72" s="37">
        <v>500000</v>
      </c>
      <c r="G72" s="37">
        <v>500000</v>
      </c>
      <c r="H72" s="78">
        <v>500000</v>
      </c>
      <c r="I72" s="108">
        <v>0</v>
      </c>
      <c r="J72" s="80">
        <v>0</v>
      </c>
      <c r="K72" s="81">
        <v>20000</v>
      </c>
      <c r="L72" s="79">
        <f>+SUM(L73:L74)</f>
        <v>15000</v>
      </c>
      <c r="M72" s="79">
        <f t="shared" ref="M72:P72" si="23">+SUM(M73:M74)</f>
        <v>97000</v>
      </c>
      <c r="N72" s="79">
        <f t="shared" si="23"/>
        <v>194000</v>
      </c>
      <c r="O72" s="79">
        <f t="shared" si="23"/>
        <v>194000</v>
      </c>
      <c r="P72" s="79">
        <f t="shared" si="23"/>
        <v>0</v>
      </c>
      <c r="Q72" s="83">
        <f>SUM(L72:O72)</f>
        <v>500000</v>
      </c>
      <c r="S72" s="116"/>
      <c r="T72" s="84"/>
      <c r="U72" s="84"/>
      <c r="V72" s="1"/>
      <c r="W72" s="1"/>
      <c r="X72" s="1"/>
      <c r="Y72" s="1"/>
      <c r="Z72" s="1"/>
      <c r="AA72" s="1"/>
    </row>
    <row r="73" spans="1:27" s="207" customFormat="1" ht="30" x14ac:dyDescent="0.35">
      <c r="A73" s="202"/>
      <c r="B73" s="203" t="s">
        <v>150</v>
      </c>
      <c r="C73" s="204" t="s">
        <v>142</v>
      </c>
      <c r="D73" s="205" t="s">
        <v>151</v>
      </c>
      <c r="E73" s="36"/>
      <c r="F73" s="134"/>
      <c r="G73" s="134"/>
      <c r="H73" s="206">
        <v>15000</v>
      </c>
      <c r="I73" s="132"/>
      <c r="J73" s="179"/>
      <c r="K73" s="179"/>
      <c r="L73" s="79">
        <v>15000</v>
      </c>
      <c r="M73" s="79"/>
      <c r="N73" s="79"/>
      <c r="O73" s="79"/>
      <c r="P73" s="79"/>
      <c r="Q73" s="83">
        <f>+SUM(L73:O73)</f>
        <v>15000</v>
      </c>
      <c r="S73" s="208"/>
      <c r="T73" s="209"/>
      <c r="U73" s="209"/>
      <c r="V73" s="210"/>
      <c r="W73" s="210"/>
      <c r="X73" s="210"/>
      <c r="Y73" s="210"/>
      <c r="Z73" s="210"/>
      <c r="AA73" s="210"/>
    </row>
    <row r="74" spans="1:27" s="207" customFormat="1" ht="30" x14ac:dyDescent="0.35">
      <c r="A74" s="202"/>
      <c r="B74" s="203" t="s">
        <v>152</v>
      </c>
      <c r="C74" s="204" t="s">
        <v>142</v>
      </c>
      <c r="D74" s="205" t="s">
        <v>153</v>
      </c>
      <c r="E74" s="36"/>
      <c r="F74" s="134"/>
      <c r="G74" s="134"/>
      <c r="H74" s="206">
        <v>485000</v>
      </c>
      <c r="I74" s="132"/>
      <c r="J74" s="179"/>
      <c r="K74" s="179"/>
      <c r="L74" s="79"/>
      <c r="M74" s="79">
        <f>+H74*0.2</f>
        <v>97000</v>
      </c>
      <c r="N74" s="79">
        <f>+H74*0.4</f>
        <v>194000</v>
      </c>
      <c r="O74" s="79">
        <f>+H74*0.4</f>
        <v>194000</v>
      </c>
      <c r="P74" s="79"/>
      <c r="Q74" s="83">
        <f>+SUM(M74:O74)</f>
        <v>485000</v>
      </c>
      <c r="S74" s="208"/>
      <c r="T74" s="209"/>
      <c r="U74" s="209"/>
      <c r="V74" s="210"/>
      <c r="W74" s="210"/>
      <c r="X74" s="210"/>
      <c r="Y74" s="210"/>
      <c r="Z74" s="210"/>
      <c r="AA74" s="210"/>
    </row>
    <row r="75" spans="1:27" x14ac:dyDescent="0.35">
      <c r="A75" s="104"/>
      <c r="B75" s="67"/>
      <c r="C75" s="113"/>
      <c r="D75" s="22" t="s">
        <v>154</v>
      </c>
      <c r="E75" s="86"/>
      <c r="F75" s="87">
        <f>SUM(F70:F73)</f>
        <v>2100000</v>
      </c>
      <c r="G75" s="87">
        <f>SUM(G70:G73)</f>
        <v>1990000</v>
      </c>
      <c r="H75" s="87">
        <f t="shared" ref="H75:O75" si="24">SUM(H70:H72)</f>
        <v>790000</v>
      </c>
      <c r="I75" s="87">
        <f t="shared" si="24"/>
        <v>0</v>
      </c>
      <c r="J75" s="87">
        <f t="shared" si="24"/>
        <v>0</v>
      </c>
      <c r="K75" s="87">
        <f t="shared" si="24"/>
        <v>130000</v>
      </c>
      <c r="L75" s="87">
        <f t="shared" si="24"/>
        <v>87500</v>
      </c>
      <c r="M75" s="87">
        <f t="shared" si="24"/>
        <v>169500</v>
      </c>
      <c r="N75" s="87">
        <f t="shared" si="24"/>
        <v>266500</v>
      </c>
      <c r="O75" s="87">
        <f t="shared" si="24"/>
        <v>266500</v>
      </c>
      <c r="P75" s="89" t="e">
        <f>P70+P71+#REF!+#REF!+#REF!+#REF!+P72</f>
        <v>#REF!</v>
      </c>
      <c r="Q75" s="89">
        <f>Q70+Q71+Q72</f>
        <v>790000</v>
      </c>
      <c r="S75" s="116"/>
      <c r="T75" s="84"/>
      <c r="U75" s="84"/>
    </row>
    <row r="76" spans="1:27" ht="23" x14ac:dyDescent="0.35">
      <c r="A76" s="117"/>
      <c r="B76" s="67" t="s">
        <v>155</v>
      </c>
      <c r="C76" s="34"/>
      <c r="D76" s="35" t="s">
        <v>156</v>
      </c>
      <c r="E76" s="68"/>
      <c r="F76" s="128"/>
      <c r="G76" s="129"/>
      <c r="H76" s="78"/>
      <c r="I76" s="79"/>
      <c r="J76" s="80"/>
      <c r="K76" s="81"/>
      <c r="L76" s="79"/>
      <c r="M76" s="80"/>
      <c r="N76" s="80"/>
      <c r="O76" s="82"/>
      <c r="P76" s="83"/>
      <c r="Q76" s="83"/>
      <c r="S76" s="116"/>
      <c r="T76" s="84"/>
      <c r="U76" s="84"/>
    </row>
    <row r="77" spans="1:27" ht="23" x14ac:dyDescent="0.35">
      <c r="A77" s="66"/>
      <c r="B77" s="20" t="s">
        <v>157</v>
      </c>
      <c r="C77" s="75" t="s">
        <v>158</v>
      </c>
      <c r="D77" s="90" t="s">
        <v>159</v>
      </c>
      <c r="E77" s="68"/>
      <c r="F77" s="37">
        <v>900000</v>
      </c>
      <c r="G77" s="38">
        <v>810000</v>
      </c>
      <c r="H77" s="78">
        <v>810000</v>
      </c>
      <c r="I77" s="79">
        <v>0</v>
      </c>
      <c r="J77" s="80">
        <v>0</v>
      </c>
      <c r="K77" s="81">
        <f>10%*F77</f>
        <v>90000</v>
      </c>
      <c r="L77" s="79">
        <v>225000</v>
      </c>
      <c r="M77" s="80">
        <f t="shared" ref="M77:N79" si="25">L77</f>
        <v>225000</v>
      </c>
      <c r="N77" s="80">
        <f t="shared" si="25"/>
        <v>225000</v>
      </c>
      <c r="O77" s="82">
        <f>N77-K77</f>
        <v>135000</v>
      </c>
      <c r="P77" s="83">
        <f>SUM(I77:K77)</f>
        <v>90000</v>
      </c>
      <c r="Q77" s="83">
        <f>SUM(L77:O77)</f>
        <v>810000</v>
      </c>
      <c r="S77" s="116"/>
      <c r="T77" s="84"/>
      <c r="U77" s="84"/>
    </row>
    <row r="78" spans="1:27" ht="23" x14ac:dyDescent="0.35">
      <c r="A78" s="66"/>
      <c r="B78" s="20" t="s">
        <v>160</v>
      </c>
      <c r="C78" s="75" t="s">
        <v>158</v>
      </c>
      <c r="D78" s="90" t="s">
        <v>161</v>
      </c>
      <c r="E78" s="68"/>
      <c r="F78" s="37">
        <v>300000</v>
      </c>
      <c r="G78" s="38">
        <v>300000</v>
      </c>
      <c r="H78" s="78">
        <v>180000</v>
      </c>
      <c r="I78" s="79">
        <v>0</v>
      </c>
      <c r="J78" s="80">
        <v>0</v>
      </c>
      <c r="K78" s="81">
        <v>0</v>
      </c>
      <c r="L78" s="79">
        <v>45000</v>
      </c>
      <c r="M78" s="80">
        <f t="shared" si="25"/>
        <v>45000</v>
      </c>
      <c r="N78" s="80">
        <f t="shared" si="25"/>
        <v>45000</v>
      </c>
      <c r="O78" s="82">
        <f>N78-K78</f>
        <v>45000</v>
      </c>
      <c r="P78" s="83">
        <f>SUM(I78:K78)</f>
        <v>0</v>
      </c>
      <c r="Q78" s="83">
        <f>SUM(L78:O78)</f>
        <v>180000</v>
      </c>
      <c r="S78" s="116"/>
      <c r="T78" s="84"/>
      <c r="U78" s="84"/>
    </row>
    <row r="79" spans="1:27" x14ac:dyDescent="0.35">
      <c r="A79" s="66"/>
      <c r="B79" s="20" t="s">
        <v>162</v>
      </c>
      <c r="C79" s="75" t="s">
        <v>158</v>
      </c>
      <c r="D79" s="90" t="s">
        <v>163</v>
      </c>
      <c r="E79" s="68"/>
      <c r="F79" s="37">
        <v>30000</v>
      </c>
      <c r="G79" s="38">
        <v>30000</v>
      </c>
      <c r="H79" s="78">
        <v>30000</v>
      </c>
      <c r="I79" s="79">
        <v>0</v>
      </c>
      <c r="J79" s="80">
        <v>0</v>
      </c>
      <c r="K79" s="81">
        <v>0</v>
      </c>
      <c r="L79" s="79">
        <v>7500</v>
      </c>
      <c r="M79" s="80">
        <f t="shared" si="25"/>
        <v>7500</v>
      </c>
      <c r="N79" s="80">
        <f t="shared" si="25"/>
        <v>7500</v>
      </c>
      <c r="O79" s="82">
        <f>N79-K79</f>
        <v>7500</v>
      </c>
      <c r="P79" s="83">
        <f>SUM(I79:K79)</f>
        <v>0</v>
      </c>
      <c r="Q79" s="83">
        <f>SUM(L79:O79)</f>
        <v>30000</v>
      </c>
      <c r="S79" s="84"/>
      <c r="T79" s="84"/>
      <c r="U79" s="84"/>
    </row>
    <row r="80" spans="1:27" ht="23" x14ac:dyDescent="0.35">
      <c r="A80" s="104"/>
      <c r="B80" s="67"/>
      <c r="C80" s="113"/>
      <c r="D80" s="22" t="s">
        <v>164</v>
      </c>
      <c r="E80" s="86"/>
      <c r="F80" s="87">
        <f>SUM(F77:F79)</f>
        <v>1230000</v>
      </c>
      <c r="G80" s="87">
        <f>SUM(G77:G79)</f>
        <v>1140000</v>
      </c>
      <c r="H80" s="87">
        <f t="shared" ref="H80:O80" si="26">SUM(H77:H79)</f>
        <v>1020000</v>
      </c>
      <c r="I80" s="87">
        <f t="shared" si="26"/>
        <v>0</v>
      </c>
      <c r="J80" s="87">
        <f t="shared" si="26"/>
        <v>0</v>
      </c>
      <c r="K80" s="87">
        <f t="shared" si="26"/>
        <v>90000</v>
      </c>
      <c r="L80" s="87">
        <f t="shared" si="26"/>
        <v>277500</v>
      </c>
      <c r="M80" s="87">
        <f t="shared" si="26"/>
        <v>277500</v>
      </c>
      <c r="N80" s="87">
        <f t="shared" si="26"/>
        <v>277500</v>
      </c>
      <c r="O80" s="87">
        <f t="shared" si="26"/>
        <v>187500</v>
      </c>
      <c r="P80" s="89">
        <f>P77+P78+P79</f>
        <v>90000</v>
      </c>
      <c r="Q80" s="89">
        <f>Q77+Q78+Q79</f>
        <v>1020000</v>
      </c>
      <c r="S80" s="84"/>
      <c r="T80" s="84"/>
      <c r="U80" s="84"/>
    </row>
    <row r="81" spans="1:21" ht="23" x14ac:dyDescent="0.35">
      <c r="A81" s="117"/>
      <c r="B81" s="67" t="s">
        <v>165</v>
      </c>
      <c r="C81" s="34"/>
      <c r="D81" s="35" t="s">
        <v>166</v>
      </c>
      <c r="E81" s="68"/>
      <c r="F81" s="128"/>
      <c r="G81" s="129"/>
      <c r="H81" s="78"/>
      <c r="I81" s="79"/>
      <c r="J81" s="80"/>
      <c r="K81" s="81"/>
      <c r="L81" s="79"/>
      <c r="M81" s="80"/>
      <c r="N81" s="80"/>
      <c r="O81" s="82"/>
      <c r="P81" s="83"/>
      <c r="Q81" s="83"/>
      <c r="S81" s="84"/>
      <c r="T81" s="84"/>
      <c r="U81" s="84"/>
    </row>
    <row r="82" spans="1:21" ht="23" x14ac:dyDescent="0.35">
      <c r="A82" s="66"/>
      <c r="B82" s="20" t="s">
        <v>167</v>
      </c>
      <c r="C82" s="75" t="s">
        <v>158</v>
      </c>
      <c r="D82" s="90" t="s">
        <v>168</v>
      </c>
      <c r="E82" s="68" t="s">
        <v>169</v>
      </c>
      <c r="F82" s="37">
        <v>180000</v>
      </c>
      <c r="G82" s="38">
        <v>165000</v>
      </c>
      <c r="H82" s="78">
        <v>60000</v>
      </c>
      <c r="I82" s="79">
        <v>0</v>
      </c>
      <c r="J82" s="91">
        <v>0</v>
      </c>
      <c r="K82" s="125" t="e">
        <f>#REF!*#REF!</f>
        <v>#REF!</v>
      </c>
      <c r="L82" s="108">
        <v>15000</v>
      </c>
      <c r="M82" s="80">
        <f>L82</f>
        <v>15000</v>
      </c>
      <c r="N82" s="80">
        <f>M82</f>
        <v>15000</v>
      </c>
      <c r="O82" s="82">
        <f>N82</f>
        <v>15000</v>
      </c>
      <c r="P82" s="83" t="e">
        <f t="shared" ref="P82:P89" si="27">SUM(I82:K82)</f>
        <v>#REF!</v>
      </c>
      <c r="Q82" s="83">
        <f t="shared" ref="Q82:Q89" si="28">SUM(L82:O82)</f>
        <v>60000</v>
      </c>
      <c r="S82" s="84"/>
      <c r="T82" s="84"/>
      <c r="U82" s="84"/>
    </row>
    <row r="83" spans="1:21" ht="23" x14ac:dyDescent="0.35">
      <c r="A83" s="66"/>
      <c r="B83" s="20" t="s">
        <v>170</v>
      </c>
      <c r="C83" s="75" t="s">
        <v>158</v>
      </c>
      <c r="D83" s="90" t="s">
        <v>171</v>
      </c>
      <c r="E83" s="68"/>
      <c r="F83" s="37">
        <v>360000</v>
      </c>
      <c r="G83" s="38">
        <v>320000</v>
      </c>
      <c r="H83" s="78">
        <v>120000</v>
      </c>
      <c r="I83" s="79">
        <v>0</v>
      </c>
      <c r="J83" s="91">
        <v>20000</v>
      </c>
      <c r="K83" s="125">
        <v>20000</v>
      </c>
      <c r="L83" s="108">
        <v>0</v>
      </c>
      <c r="M83" s="80">
        <v>0</v>
      </c>
      <c r="N83" s="80">
        <v>120000</v>
      </c>
      <c r="O83" s="82">
        <v>0</v>
      </c>
      <c r="P83" s="83">
        <f t="shared" si="27"/>
        <v>40000</v>
      </c>
      <c r="Q83" s="83">
        <f t="shared" si="28"/>
        <v>120000</v>
      </c>
      <c r="S83" s="84"/>
      <c r="T83" s="84"/>
      <c r="U83" s="84"/>
    </row>
    <row r="84" spans="1:21" ht="23" x14ac:dyDescent="0.35">
      <c r="A84" s="66"/>
      <c r="B84" s="20" t="s">
        <v>172</v>
      </c>
      <c r="C84" s="75" t="s">
        <v>158</v>
      </c>
      <c r="D84" s="90" t="s">
        <v>173</v>
      </c>
      <c r="E84" s="68"/>
      <c r="F84" s="37">
        <v>648000</v>
      </c>
      <c r="G84" s="38">
        <v>648000</v>
      </c>
      <c r="H84" s="78">
        <v>108000</v>
      </c>
      <c r="I84" s="79">
        <v>0</v>
      </c>
      <c r="J84" s="80">
        <v>0</v>
      </c>
      <c r="K84" s="81">
        <v>0</v>
      </c>
      <c r="L84" s="79">
        <v>27000</v>
      </c>
      <c r="M84" s="80">
        <f t="shared" ref="M84:O85" si="29">L84</f>
        <v>27000</v>
      </c>
      <c r="N84" s="80">
        <f t="shared" si="29"/>
        <v>27000</v>
      </c>
      <c r="O84" s="82">
        <f t="shared" si="29"/>
        <v>27000</v>
      </c>
      <c r="P84" s="83">
        <f t="shared" si="27"/>
        <v>0</v>
      </c>
      <c r="Q84" s="83">
        <f t="shared" si="28"/>
        <v>108000</v>
      </c>
      <c r="S84" s="84"/>
      <c r="T84" s="84"/>
      <c r="U84" s="84"/>
    </row>
    <row r="85" spans="1:21" ht="23" x14ac:dyDescent="0.35">
      <c r="A85" s="66"/>
      <c r="B85" s="20" t="s">
        <v>174</v>
      </c>
      <c r="C85" s="75" t="s">
        <v>158</v>
      </c>
      <c r="D85" s="90" t="s">
        <v>175</v>
      </c>
      <c r="E85" s="68"/>
      <c r="F85" s="37">
        <v>79200</v>
      </c>
      <c r="G85" s="38">
        <v>79200</v>
      </c>
      <c r="H85" s="78">
        <v>13200</v>
      </c>
      <c r="I85" s="79">
        <v>0</v>
      </c>
      <c r="J85" s="80">
        <v>0</v>
      </c>
      <c r="K85" s="81">
        <v>0</v>
      </c>
      <c r="L85" s="79">
        <v>3300</v>
      </c>
      <c r="M85" s="80">
        <f t="shared" si="29"/>
        <v>3300</v>
      </c>
      <c r="N85" s="80">
        <f t="shared" si="29"/>
        <v>3300</v>
      </c>
      <c r="O85" s="82">
        <f t="shared" si="29"/>
        <v>3300</v>
      </c>
      <c r="P85" s="83">
        <f t="shared" si="27"/>
        <v>0</v>
      </c>
      <c r="Q85" s="83">
        <f t="shared" si="28"/>
        <v>13200</v>
      </c>
      <c r="S85" s="84"/>
      <c r="T85" s="84"/>
      <c r="U85" s="84"/>
    </row>
    <row r="86" spans="1:21" ht="23" x14ac:dyDescent="0.35">
      <c r="A86" s="66"/>
      <c r="B86" s="20" t="s">
        <v>176</v>
      </c>
      <c r="C86" s="75" t="s">
        <v>158</v>
      </c>
      <c r="D86" s="90" t="s">
        <v>177</v>
      </c>
      <c r="E86" s="68"/>
      <c r="F86" s="37">
        <v>27000</v>
      </c>
      <c r="G86" s="38">
        <v>27000</v>
      </c>
      <c r="H86" s="78">
        <v>7500</v>
      </c>
      <c r="I86" s="79">
        <v>0</v>
      </c>
      <c r="J86" s="80">
        <v>0</v>
      </c>
      <c r="K86" s="81">
        <v>0</v>
      </c>
      <c r="L86" s="79">
        <v>3750</v>
      </c>
      <c r="M86" s="80">
        <v>0</v>
      </c>
      <c r="N86" s="80">
        <f>L86</f>
        <v>3750</v>
      </c>
      <c r="O86" s="82">
        <v>0</v>
      </c>
      <c r="P86" s="83">
        <f t="shared" si="27"/>
        <v>0</v>
      </c>
      <c r="Q86" s="83">
        <f t="shared" si="28"/>
        <v>7500</v>
      </c>
      <c r="S86" s="84"/>
      <c r="T86" s="84"/>
      <c r="U86" s="84"/>
    </row>
    <row r="87" spans="1:21" x14ac:dyDescent="0.35">
      <c r="A87" s="66"/>
      <c r="B87" s="20" t="s">
        <v>178</v>
      </c>
      <c r="C87" s="75" t="s">
        <v>158</v>
      </c>
      <c r="D87" s="90" t="s">
        <v>179</v>
      </c>
      <c r="E87" s="68"/>
      <c r="F87" s="37">
        <v>200000</v>
      </c>
      <c r="G87" s="38">
        <v>200000</v>
      </c>
      <c r="H87" s="78">
        <v>50000</v>
      </c>
      <c r="I87" s="79">
        <v>0</v>
      </c>
      <c r="J87" s="80">
        <v>0</v>
      </c>
      <c r="K87" s="81">
        <v>0</v>
      </c>
      <c r="L87" s="79">
        <v>0</v>
      </c>
      <c r="M87" s="80">
        <v>0</v>
      </c>
      <c r="N87" s="80">
        <v>25000</v>
      </c>
      <c r="O87" s="82">
        <v>25000</v>
      </c>
      <c r="P87" s="83">
        <f t="shared" si="27"/>
        <v>0</v>
      </c>
      <c r="Q87" s="83">
        <f t="shared" si="28"/>
        <v>50000</v>
      </c>
      <c r="S87" s="84"/>
      <c r="T87" s="84"/>
      <c r="U87" s="84"/>
    </row>
    <row r="88" spans="1:21" x14ac:dyDescent="0.35">
      <c r="A88" s="66"/>
      <c r="B88" s="20" t="s">
        <v>180</v>
      </c>
      <c r="C88" s="75" t="s">
        <v>158</v>
      </c>
      <c r="D88" s="90" t="s">
        <v>181</v>
      </c>
      <c r="E88" s="68"/>
      <c r="F88" s="37">
        <v>20000</v>
      </c>
      <c r="G88" s="38">
        <v>20000</v>
      </c>
      <c r="H88" s="78">
        <v>5000</v>
      </c>
      <c r="I88" s="79">
        <v>0</v>
      </c>
      <c r="J88" s="80">
        <v>0</v>
      </c>
      <c r="K88" s="81">
        <v>0</v>
      </c>
      <c r="L88" s="79">
        <v>0</v>
      </c>
      <c r="M88" s="80">
        <v>0</v>
      </c>
      <c r="N88" s="80">
        <v>2500</v>
      </c>
      <c r="O88" s="82">
        <f>N88</f>
        <v>2500</v>
      </c>
      <c r="P88" s="83">
        <f t="shared" si="27"/>
        <v>0</v>
      </c>
      <c r="Q88" s="83">
        <f t="shared" si="28"/>
        <v>5000</v>
      </c>
      <c r="S88" s="84"/>
      <c r="T88" s="84"/>
      <c r="U88" s="84"/>
    </row>
    <row r="89" spans="1:21" x14ac:dyDescent="0.35">
      <c r="A89" s="66"/>
      <c r="B89" s="20" t="s">
        <v>182</v>
      </c>
      <c r="C89" s="75" t="s">
        <v>158</v>
      </c>
      <c r="D89" s="90" t="s">
        <v>183</v>
      </c>
      <c r="E89" s="68"/>
      <c r="F89" s="37">
        <v>300000</v>
      </c>
      <c r="G89" s="38">
        <v>300000</v>
      </c>
      <c r="H89" s="78">
        <v>83333</v>
      </c>
      <c r="I89" s="79">
        <v>0</v>
      </c>
      <c r="J89" s="80">
        <v>0</v>
      </c>
      <c r="K89" s="81">
        <v>0</v>
      </c>
      <c r="L89" s="79">
        <v>0</v>
      </c>
      <c r="M89" s="80">
        <v>0</v>
      </c>
      <c r="N89" s="80">
        <v>41667</v>
      </c>
      <c r="O89" s="82">
        <f>N89-1</f>
        <v>41666</v>
      </c>
      <c r="P89" s="83">
        <f t="shared" si="27"/>
        <v>0</v>
      </c>
      <c r="Q89" s="83">
        <f t="shared" si="28"/>
        <v>83333</v>
      </c>
      <c r="S89" s="84"/>
      <c r="T89" s="84"/>
      <c r="U89" s="84"/>
    </row>
    <row r="90" spans="1:21" ht="23" x14ac:dyDescent="0.35">
      <c r="A90" s="104"/>
      <c r="B90" s="67"/>
      <c r="C90" s="113"/>
      <c r="D90" s="22" t="s">
        <v>184</v>
      </c>
      <c r="E90" s="86"/>
      <c r="F90" s="87">
        <f>SUM(F82:F89)</f>
        <v>1814200</v>
      </c>
      <c r="G90" s="87">
        <f>SUM(G82:G89)</f>
        <v>1759200</v>
      </c>
      <c r="H90" s="87">
        <f t="shared" ref="H90:O90" si="30">SUM(H82:H89)</f>
        <v>447033</v>
      </c>
      <c r="I90" s="87">
        <f t="shared" si="30"/>
        <v>0</v>
      </c>
      <c r="J90" s="87">
        <f t="shared" si="30"/>
        <v>20000</v>
      </c>
      <c r="K90" s="87" t="e">
        <f t="shared" si="30"/>
        <v>#REF!</v>
      </c>
      <c r="L90" s="87">
        <f t="shared" si="30"/>
        <v>49050</v>
      </c>
      <c r="M90" s="87">
        <f t="shared" si="30"/>
        <v>45300</v>
      </c>
      <c r="N90" s="87">
        <f t="shared" si="30"/>
        <v>238217</v>
      </c>
      <c r="O90" s="87">
        <f t="shared" si="30"/>
        <v>114466</v>
      </c>
      <c r="P90" s="89" t="e">
        <f>P82+P83+P84+P85+P86+P87+P88+P89</f>
        <v>#REF!</v>
      </c>
      <c r="Q90" s="89">
        <f>Q82+Q83+Q84+Q85+Q86+Q87+Q88+Q89</f>
        <v>447033</v>
      </c>
      <c r="S90" s="84"/>
      <c r="T90" s="84"/>
      <c r="U90" s="84"/>
    </row>
    <row r="91" spans="1:21" x14ac:dyDescent="0.35">
      <c r="A91" s="117"/>
      <c r="B91" s="67" t="s">
        <v>185</v>
      </c>
      <c r="C91" s="34"/>
      <c r="D91" s="35" t="s">
        <v>186</v>
      </c>
      <c r="E91" s="68"/>
      <c r="F91" s="128"/>
      <c r="G91" s="129"/>
      <c r="H91" s="78"/>
      <c r="I91" s="79"/>
      <c r="J91" s="80"/>
      <c r="K91" s="81"/>
      <c r="L91" s="79"/>
      <c r="M91" s="80"/>
      <c r="N91" s="80"/>
      <c r="O91" s="82"/>
      <c r="P91" s="83"/>
      <c r="Q91" s="83"/>
      <c r="S91" s="84"/>
      <c r="T91" s="84"/>
      <c r="U91" s="84"/>
    </row>
    <row r="92" spans="1:21" x14ac:dyDescent="0.35">
      <c r="A92" s="66"/>
      <c r="B92" s="20" t="s">
        <v>187</v>
      </c>
      <c r="C92" s="75" t="s">
        <v>158</v>
      </c>
      <c r="D92" s="90" t="s">
        <v>188</v>
      </c>
      <c r="E92" s="68"/>
      <c r="F92" s="37">
        <v>720000</v>
      </c>
      <c r="G92" s="38">
        <v>720000</v>
      </c>
      <c r="H92" s="78">
        <v>240000</v>
      </c>
      <c r="I92" s="79"/>
      <c r="J92" s="80">
        <v>0</v>
      </c>
      <c r="K92" s="81">
        <v>0</v>
      </c>
      <c r="L92" s="79">
        <v>0</v>
      </c>
      <c r="M92" s="80">
        <v>0</v>
      </c>
      <c r="N92" s="80">
        <v>120000</v>
      </c>
      <c r="O92" s="82">
        <f>N92</f>
        <v>120000</v>
      </c>
      <c r="P92" s="83">
        <f>SUM(I92:K92)</f>
        <v>0</v>
      </c>
      <c r="Q92" s="83">
        <f>SUM(L92:O92)</f>
        <v>240000</v>
      </c>
      <c r="S92" s="84"/>
      <c r="T92" s="84"/>
      <c r="U92" s="84"/>
    </row>
    <row r="93" spans="1:21" ht="23" x14ac:dyDescent="0.35">
      <c r="A93" s="66"/>
      <c r="B93" s="20" t="s">
        <v>189</v>
      </c>
      <c r="C93" s="75" t="s">
        <v>158</v>
      </c>
      <c r="D93" s="90" t="s">
        <v>190</v>
      </c>
      <c r="E93" s="68" t="s">
        <v>191</v>
      </c>
      <c r="F93" s="37">
        <v>900000</v>
      </c>
      <c r="G93" s="38">
        <v>900000</v>
      </c>
      <c r="H93" s="78">
        <v>105000</v>
      </c>
      <c r="I93" s="79"/>
      <c r="J93" s="80">
        <v>0</v>
      </c>
      <c r="K93" s="81">
        <v>0</v>
      </c>
      <c r="L93" s="79">
        <v>105000</v>
      </c>
      <c r="M93" s="80">
        <v>0</v>
      </c>
      <c r="N93" s="80">
        <v>0</v>
      </c>
      <c r="O93" s="82">
        <v>0</v>
      </c>
      <c r="P93" s="83">
        <f>SUM(I93:K93)</f>
        <v>0</v>
      </c>
      <c r="Q93" s="83">
        <f>SUM(L93:O93)</f>
        <v>105000</v>
      </c>
      <c r="S93" s="84"/>
      <c r="T93" s="84"/>
      <c r="U93" s="84"/>
    </row>
    <row r="94" spans="1:21" ht="46" x14ac:dyDescent="0.35">
      <c r="A94" s="66"/>
      <c r="B94" s="20" t="s">
        <v>192</v>
      </c>
      <c r="C94" s="75" t="s">
        <v>158</v>
      </c>
      <c r="D94" s="90" t="s">
        <v>193</v>
      </c>
      <c r="E94" s="68" t="s">
        <v>194</v>
      </c>
      <c r="F94" s="37">
        <v>690000</v>
      </c>
      <c r="G94" s="38">
        <v>682800</v>
      </c>
      <c r="H94" s="78">
        <v>216000</v>
      </c>
      <c r="I94" s="79"/>
      <c r="J94" s="80">
        <v>0</v>
      </c>
      <c r="K94" s="81">
        <f>20*200*1.8</f>
        <v>7200</v>
      </c>
      <c r="L94" s="79">
        <v>0</v>
      </c>
      <c r="M94" s="80">
        <f>600*200*1.8</f>
        <v>216000</v>
      </c>
      <c r="N94" s="80">
        <v>0</v>
      </c>
      <c r="O94" s="82">
        <v>0</v>
      </c>
      <c r="P94" s="83">
        <f>SUM(I94:K94)</f>
        <v>7200</v>
      </c>
      <c r="Q94" s="83">
        <f>SUM(L94:O94)</f>
        <v>216000</v>
      </c>
      <c r="S94" s="84"/>
      <c r="T94" s="84"/>
      <c r="U94" s="84"/>
    </row>
    <row r="95" spans="1:21" ht="23" x14ac:dyDescent="0.35">
      <c r="A95" s="66"/>
      <c r="B95" s="20" t="s">
        <v>195</v>
      </c>
      <c r="C95" s="75" t="s">
        <v>158</v>
      </c>
      <c r="D95" s="90" t="s">
        <v>196</v>
      </c>
      <c r="E95" s="68"/>
      <c r="F95" s="37">
        <v>1560000</v>
      </c>
      <c r="G95" s="38">
        <v>1560000</v>
      </c>
      <c r="H95" s="78">
        <v>520000</v>
      </c>
      <c r="I95" s="79"/>
      <c r="J95" s="80">
        <v>0</v>
      </c>
      <c r="K95" s="81">
        <v>0</v>
      </c>
      <c r="L95" s="79">
        <v>0</v>
      </c>
      <c r="M95" s="80">
        <v>0</v>
      </c>
      <c r="N95" s="80">
        <v>260000</v>
      </c>
      <c r="O95" s="82">
        <f>N95</f>
        <v>260000</v>
      </c>
      <c r="P95" s="83">
        <f>SUM(I95:K95)</f>
        <v>0</v>
      </c>
      <c r="Q95" s="83">
        <f>SUM(L95:O95)</f>
        <v>520000</v>
      </c>
      <c r="S95" s="84"/>
      <c r="T95" s="84"/>
      <c r="U95" s="84"/>
    </row>
    <row r="96" spans="1:21" x14ac:dyDescent="0.35">
      <c r="A96" s="66"/>
      <c r="B96" s="20" t="s">
        <v>197</v>
      </c>
      <c r="C96" s="75" t="s">
        <v>158</v>
      </c>
      <c r="D96" s="90" t="s">
        <v>198</v>
      </c>
      <c r="E96" s="68"/>
      <c r="F96" s="37">
        <v>180000</v>
      </c>
      <c r="G96" s="38">
        <v>180000</v>
      </c>
      <c r="H96" s="78">
        <v>60000</v>
      </c>
      <c r="I96" s="79"/>
      <c r="J96" s="80">
        <v>0</v>
      </c>
      <c r="K96" s="81">
        <v>0</v>
      </c>
      <c r="L96" s="79">
        <v>0</v>
      </c>
      <c r="M96" s="80">
        <v>0</v>
      </c>
      <c r="N96" s="80">
        <v>30000</v>
      </c>
      <c r="O96" s="82">
        <f>N96</f>
        <v>30000</v>
      </c>
      <c r="P96" s="83">
        <f>SUM(I96:K96)</f>
        <v>0</v>
      </c>
      <c r="Q96" s="83">
        <f>SUM(L96:O96)</f>
        <v>60000</v>
      </c>
      <c r="S96" s="84"/>
      <c r="T96" s="84"/>
      <c r="U96" s="84"/>
    </row>
    <row r="97" spans="1:21" x14ac:dyDescent="0.35">
      <c r="A97" s="104"/>
      <c r="B97" s="67"/>
      <c r="C97" s="113"/>
      <c r="D97" s="22" t="s">
        <v>199</v>
      </c>
      <c r="E97" s="86"/>
      <c r="F97" s="87">
        <f>SUM(F92:F96)</f>
        <v>4050000</v>
      </c>
      <c r="G97" s="87">
        <f>SUM(G92:G96)</f>
        <v>4042800</v>
      </c>
      <c r="H97" s="87">
        <f t="shared" ref="H97:O97" si="31">SUM(H92:H96)</f>
        <v>1141000</v>
      </c>
      <c r="I97" s="87">
        <f t="shared" si="31"/>
        <v>0</v>
      </c>
      <c r="J97" s="87">
        <f t="shared" si="31"/>
        <v>0</v>
      </c>
      <c r="K97" s="87">
        <f t="shared" si="31"/>
        <v>7200</v>
      </c>
      <c r="L97" s="87">
        <f t="shared" si="31"/>
        <v>105000</v>
      </c>
      <c r="M97" s="87">
        <f t="shared" si="31"/>
        <v>216000</v>
      </c>
      <c r="N97" s="87">
        <f t="shared" si="31"/>
        <v>410000</v>
      </c>
      <c r="O97" s="87">
        <f t="shared" si="31"/>
        <v>410000</v>
      </c>
      <c r="P97" s="89">
        <f>P92+P93+P94+P95+P96</f>
        <v>7200</v>
      </c>
      <c r="Q97" s="89">
        <f>Q92+Q93+Q94+Q95+Q96</f>
        <v>1141000</v>
      </c>
      <c r="S97" s="84"/>
      <c r="T97" s="84"/>
      <c r="U97" s="84"/>
    </row>
    <row r="98" spans="1:21" ht="23" x14ac:dyDescent="0.35">
      <c r="A98" s="117"/>
      <c r="B98" s="67" t="s">
        <v>200</v>
      </c>
      <c r="C98" s="34"/>
      <c r="D98" s="35" t="s">
        <v>201</v>
      </c>
      <c r="E98" s="68"/>
      <c r="F98" s="128"/>
      <c r="G98" s="129"/>
      <c r="H98" s="78"/>
      <c r="I98" s="79"/>
      <c r="J98" s="80"/>
      <c r="K98" s="81"/>
      <c r="L98" s="79"/>
      <c r="M98" s="80"/>
      <c r="N98" s="80"/>
      <c r="O98" s="82"/>
      <c r="P98" s="83"/>
      <c r="Q98" s="83"/>
      <c r="S98" s="84"/>
      <c r="T98" s="84"/>
      <c r="U98" s="84"/>
    </row>
    <row r="99" spans="1:21" x14ac:dyDescent="0.35">
      <c r="A99" s="117"/>
      <c r="B99" s="20" t="s">
        <v>202</v>
      </c>
      <c r="C99" s="75" t="s">
        <v>158</v>
      </c>
      <c r="D99" s="90" t="s">
        <v>203</v>
      </c>
      <c r="E99" s="68" t="s">
        <v>204</v>
      </c>
      <c r="F99" s="37">
        <v>150000</v>
      </c>
      <c r="G99" s="38">
        <v>150000</v>
      </c>
      <c r="H99" s="78">
        <f>Q99</f>
        <v>36000</v>
      </c>
      <c r="I99" s="79"/>
      <c r="J99" s="80">
        <v>0</v>
      </c>
      <c r="K99" s="81">
        <v>0</v>
      </c>
      <c r="L99" s="79">
        <v>0</v>
      </c>
      <c r="M99" s="80">
        <v>0</v>
      </c>
      <c r="N99" s="80">
        <f>F99*3/25</f>
        <v>18000</v>
      </c>
      <c r="O99" s="126">
        <f>N99</f>
        <v>18000</v>
      </c>
      <c r="P99" s="83">
        <f>SUM(I99:K99)</f>
        <v>0</v>
      </c>
      <c r="Q99" s="83">
        <f>SUM(L99:O99)</f>
        <v>36000</v>
      </c>
      <c r="S99" s="84"/>
      <c r="T99" s="84"/>
      <c r="U99" s="84"/>
    </row>
    <row r="100" spans="1:21" s="2" customFormat="1" ht="23" x14ac:dyDescent="0.35">
      <c r="A100" s="117"/>
      <c r="B100" s="20" t="s">
        <v>205</v>
      </c>
      <c r="C100" s="75" t="s">
        <v>158</v>
      </c>
      <c r="D100" s="90" t="s">
        <v>206</v>
      </c>
      <c r="E100" s="36" t="s">
        <v>207</v>
      </c>
      <c r="F100" s="37">
        <v>150000</v>
      </c>
      <c r="G100" s="38">
        <v>125647</v>
      </c>
      <c r="H100" s="78">
        <f>Q100</f>
        <v>72000</v>
      </c>
      <c r="I100" s="108"/>
      <c r="J100" s="91">
        <f>F100/23.61</f>
        <v>6353.2401524777642</v>
      </c>
      <c r="K100" s="125" t="e">
        <f>#REF!*F100/25</f>
        <v>#REF!</v>
      </c>
      <c r="L100" s="108">
        <f>F100*3/25</f>
        <v>18000</v>
      </c>
      <c r="M100" s="91">
        <f>L100</f>
        <v>18000</v>
      </c>
      <c r="N100" s="91">
        <f>M100</f>
        <v>18000</v>
      </c>
      <c r="O100" s="126">
        <f>N100</f>
        <v>18000</v>
      </c>
      <c r="P100" s="127" t="e">
        <f>SUM(I100:K100)</f>
        <v>#REF!</v>
      </c>
      <c r="Q100" s="83">
        <f>SUM(L100:O100)</f>
        <v>72000</v>
      </c>
      <c r="S100" s="116"/>
      <c r="T100" s="116"/>
      <c r="U100" s="116"/>
    </row>
    <row r="101" spans="1:21" ht="23" x14ac:dyDescent="0.35">
      <c r="A101" s="104"/>
      <c r="B101" s="67"/>
      <c r="C101" s="113"/>
      <c r="D101" s="22" t="s">
        <v>208</v>
      </c>
      <c r="E101" s="86"/>
      <c r="F101" s="87">
        <f>SUM(F99:F100)</f>
        <v>300000</v>
      </c>
      <c r="G101" s="87">
        <f>SUM(G99:G100)</f>
        <v>275647</v>
      </c>
      <c r="H101" s="87">
        <f t="shared" ref="H101:P101" si="32">SUM(H99:H100)</f>
        <v>108000</v>
      </c>
      <c r="I101" s="87">
        <f t="shared" si="32"/>
        <v>0</v>
      </c>
      <c r="J101" s="87">
        <f t="shared" si="32"/>
        <v>6353.2401524777642</v>
      </c>
      <c r="K101" s="87" t="e">
        <f t="shared" si="32"/>
        <v>#REF!</v>
      </c>
      <c r="L101" s="87">
        <f t="shared" si="32"/>
        <v>18000</v>
      </c>
      <c r="M101" s="87">
        <f t="shared" si="32"/>
        <v>18000</v>
      </c>
      <c r="N101" s="87">
        <f t="shared" si="32"/>
        <v>36000</v>
      </c>
      <c r="O101" s="87">
        <f t="shared" si="32"/>
        <v>36000</v>
      </c>
      <c r="P101" s="87" t="e">
        <f t="shared" si="32"/>
        <v>#REF!</v>
      </c>
      <c r="Q101" s="89">
        <f>Q99+Q100</f>
        <v>108000</v>
      </c>
      <c r="S101" s="84"/>
      <c r="T101" s="84"/>
      <c r="U101" s="84"/>
    </row>
    <row r="102" spans="1:21" x14ac:dyDescent="0.35">
      <c r="A102" s="117"/>
      <c r="B102" s="67" t="s">
        <v>209</v>
      </c>
      <c r="C102" s="34"/>
      <c r="D102" s="35" t="s">
        <v>210</v>
      </c>
      <c r="E102" s="68"/>
      <c r="F102" s="128"/>
      <c r="G102" s="129"/>
      <c r="H102" s="131"/>
      <c r="I102" s="79"/>
      <c r="J102" s="80"/>
      <c r="K102" s="81"/>
      <c r="L102" s="79"/>
      <c r="M102" s="80"/>
      <c r="N102" s="80"/>
      <c r="O102" s="82"/>
      <c r="P102" s="83"/>
      <c r="Q102" s="83"/>
      <c r="S102" s="84"/>
      <c r="T102" s="84"/>
      <c r="U102" s="84"/>
    </row>
    <row r="103" spans="1:21" s="2" customFormat="1" ht="23" x14ac:dyDescent="0.35">
      <c r="A103" s="117"/>
      <c r="B103" s="20" t="s">
        <v>211</v>
      </c>
      <c r="C103" s="75" t="s">
        <v>158</v>
      </c>
      <c r="D103" s="90" t="s">
        <v>212</v>
      </c>
      <c r="E103" s="36" t="s">
        <v>213</v>
      </c>
      <c r="F103" s="37">
        <v>80000</v>
      </c>
      <c r="G103" s="38">
        <v>60000</v>
      </c>
      <c r="H103" s="39">
        <f>Q103</f>
        <v>50000</v>
      </c>
      <c r="I103" s="108"/>
      <c r="J103" s="91">
        <v>0</v>
      </c>
      <c r="K103" s="125">
        <v>20000</v>
      </c>
      <c r="L103" s="132">
        <v>0</v>
      </c>
      <c r="M103" s="91">
        <v>50000</v>
      </c>
      <c r="N103" s="91">
        <v>0</v>
      </c>
      <c r="O103" s="133">
        <v>0</v>
      </c>
      <c r="P103" s="127">
        <f>SUM(I103:K103)</f>
        <v>20000</v>
      </c>
      <c r="Q103" s="83">
        <f>SUM(L103:O103)</f>
        <v>50000</v>
      </c>
      <c r="S103" s="116"/>
      <c r="T103" s="116"/>
      <c r="U103" s="116"/>
    </row>
    <row r="104" spans="1:21" x14ac:dyDescent="0.35">
      <c r="A104" s="117"/>
      <c r="B104" s="20" t="s">
        <v>214</v>
      </c>
      <c r="C104" s="75" t="s">
        <v>158</v>
      </c>
      <c r="D104" s="90" t="s">
        <v>215</v>
      </c>
      <c r="E104" s="68"/>
      <c r="F104" s="134">
        <v>420000</v>
      </c>
      <c r="G104" s="38">
        <v>420000</v>
      </c>
      <c r="H104" s="78">
        <f>Q104</f>
        <v>151200</v>
      </c>
      <c r="I104" s="79"/>
      <c r="J104" s="80">
        <v>0</v>
      </c>
      <c r="K104" s="81">
        <v>0</v>
      </c>
      <c r="L104" s="135">
        <v>0</v>
      </c>
      <c r="M104" s="80">
        <f>F104*3/25</f>
        <v>50400</v>
      </c>
      <c r="N104" s="80">
        <f>F104*3/25</f>
        <v>50400</v>
      </c>
      <c r="O104" s="136">
        <f>N104</f>
        <v>50400</v>
      </c>
      <c r="P104" s="83">
        <f>SUM(I104:K104)</f>
        <v>0</v>
      </c>
      <c r="Q104" s="83">
        <f>SUM(L104:O104)</f>
        <v>151200</v>
      </c>
      <c r="S104" s="84"/>
      <c r="T104" s="84"/>
      <c r="U104" s="84"/>
    </row>
    <row r="105" spans="1:21" x14ac:dyDescent="0.35">
      <c r="A105" s="104"/>
      <c r="B105" s="67"/>
      <c r="C105" s="113"/>
      <c r="D105" s="22" t="s">
        <v>216</v>
      </c>
      <c r="E105" s="86"/>
      <c r="F105" s="137">
        <f>SUM(F103:F104)</f>
        <v>500000</v>
      </c>
      <c r="G105" s="87">
        <f>SUM(G103:G104)</f>
        <v>480000</v>
      </c>
      <c r="H105" s="137">
        <f t="shared" ref="H105:P105" si="33">SUM(H103:H104)</f>
        <v>201200</v>
      </c>
      <c r="I105" s="137">
        <f t="shared" si="33"/>
        <v>0</v>
      </c>
      <c r="J105" s="137">
        <f t="shared" si="33"/>
        <v>0</v>
      </c>
      <c r="K105" s="137">
        <f t="shared" si="33"/>
        <v>20000</v>
      </c>
      <c r="L105" s="137">
        <f t="shared" si="33"/>
        <v>0</v>
      </c>
      <c r="M105" s="137">
        <f t="shared" si="33"/>
        <v>100400</v>
      </c>
      <c r="N105" s="137">
        <f t="shared" si="33"/>
        <v>50400</v>
      </c>
      <c r="O105" s="137">
        <f t="shared" si="33"/>
        <v>50400</v>
      </c>
      <c r="P105" s="137">
        <f t="shared" si="33"/>
        <v>20000</v>
      </c>
      <c r="Q105" s="138">
        <f>Q103+Q104</f>
        <v>201200</v>
      </c>
      <c r="S105" s="84"/>
      <c r="T105" s="84"/>
      <c r="U105" s="84"/>
    </row>
    <row r="106" spans="1:21" x14ac:dyDescent="0.35">
      <c r="A106" s="139"/>
      <c r="B106" s="67"/>
      <c r="C106" s="140"/>
      <c r="D106" s="109" t="s">
        <v>217</v>
      </c>
      <c r="E106" s="110"/>
      <c r="F106" s="141">
        <f>F56+F67+F75+F80+F90+F97+F101+F105</f>
        <v>10426300</v>
      </c>
      <c r="G106" s="111">
        <f>G56+G67+G75+G80+G90+G97+G101+G105</f>
        <v>10018955</v>
      </c>
      <c r="H106" s="141">
        <f>H56+H67+H75+H80+H90+H97+H101+H105</f>
        <v>3882866</v>
      </c>
      <c r="I106" s="141" t="e">
        <f>I56+I67+I75+I80+I90+I97+I101+#REF!+I105</f>
        <v>#REF!</v>
      </c>
      <c r="J106" s="141" t="e">
        <f>J56+J67+J75+J80+J90+J97+J101+#REF!+J105</f>
        <v>#REF!</v>
      </c>
      <c r="K106" s="141" t="e">
        <f>K56+K67+K75+K80+K90+K97+K101+#REF!+K105</f>
        <v>#REF!</v>
      </c>
      <c r="L106" s="141">
        <f>L56+L67+L75+L80+L90+L97+L101+L105</f>
        <v>562025</v>
      </c>
      <c r="M106" s="141">
        <f>M56+M67+M75+M80+M90+M97+M101+M105</f>
        <v>868175</v>
      </c>
      <c r="N106" s="141">
        <f>N56+N67+N75+N80+N90+N97+N101+N105</f>
        <v>1337492</v>
      </c>
      <c r="O106" s="141">
        <f>O56+O67+O75+O80+O90+O97+O101+O105</f>
        <v>1115174</v>
      </c>
      <c r="P106" s="142" t="e">
        <f>P56+P67+P75+P80+P90+P97+P101+#REF!+P105</f>
        <v>#REF!</v>
      </c>
      <c r="Q106" s="142">
        <f>Q56+Q67+Q75+Q80+Q90+Q97+Q101+Q105</f>
        <v>3882866</v>
      </c>
      <c r="S106" s="84"/>
      <c r="T106" s="84"/>
      <c r="U106" s="84"/>
    </row>
    <row r="107" spans="1:21" x14ac:dyDescent="0.35">
      <c r="A107" s="139"/>
      <c r="B107" s="67"/>
      <c r="C107" s="140"/>
      <c r="D107" s="109" t="s">
        <v>218</v>
      </c>
      <c r="E107" s="110"/>
      <c r="F107" s="141">
        <f>F27+F34+F45+F106</f>
        <v>12363700</v>
      </c>
      <c r="G107" s="111">
        <f>G27+G34+G45+G106</f>
        <v>11723255</v>
      </c>
      <c r="H107" s="141">
        <f>H27+H34+H45+H106-1</f>
        <v>4602605</v>
      </c>
      <c r="I107" s="141" t="e">
        <f>I27+#REF!+I34+I45+I106</f>
        <v>#REF!</v>
      </c>
      <c r="J107" s="141" t="e">
        <f>J27+#REF!+J34+J45+J106</f>
        <v>#REF!</v>
      </c>
      <c r="K107" s="141" t="e">
        <f>K27+#REF!+K34+K45+K106</f>
        <v>#REF!</v>
      </c>
      <c r="L107" s="141">
        <f>L27+L34+L45+L106</f>
        <v>703585</v>
      </c>
      <c r="M107" s="141">
        <f>M27+M34+M45+M106</f>
        <v>1060901.6666666667</v>
      </c>
      <c r="N107" s="141">
        <f>N27+N34+N45+N106</f>
        <v>1530218</v>
      </c>
      <c r="O107" s="141">
        <f>O27+O34+O45+O106</f>
        <v>1307901</v>
      </c>
      <c r="P107" s="142" t="e">
        <f>P27+#REF!+P34+P45+P106</f>
        <v>#REF!</v>
      </c>
      <c r="Q107" s="143">
        <f>Q106+Q27+Q34+Q45</f>
        <v>4602605.666666667</v>
      </c>
      <c r="S107" s="84"/>
      <c r="T107" s="84"/>
      <c r="U107" s="84"/>
    </row>
    <row r="108" spans="1:21" x14ac:dyDescent="0.35">
      <c r="A108" s="104" t="s">
        <v>219</v>
      </c>
      <c r="B108" s="67"/>
      <c r="C108" s="113"/>
      <c r="D108" s="109" t="s">
        <v>220</v>
      </c>
      <c r="E108" s="110"/>
      <c r="F108" s="141">
        <f>F9+F107</f>
        <v>14888609</v>
      </c>
      <c r="G108" s="111">
        <f>G9+G107</f>
        <v>13757210</v>
      </c>
      <c r="H108" s="141">
        <f>H9+H107</f>
        <v>5444241</v>
      </c>
      <c r="I108" s="144"/>
      <c r="J108" s="145"/>
      <c r="K108" s="146"/>
      <c r="L108" s="147">
        <f>L107+L8</f>
        <v>913994</v>
      </c>
      <c r="M108" s="145">
        <f>M107+M8</f>
        <v>1271310.6666666667</v>
      </c>
      <c r="N108" s="145">
        <f>N107+N8</f>
        <v>1740627</v>
      </c>
      <c r="O108" s="148">
        <f>O107+O8</f>
        <v>1518310</v>
      </c>
      <c r="P108" s="142" t="e">
        <f>P106+P27+#REF!+P34+P45+P9</f>
        <v>#REF!</v>
      </c>
      <c r="Q108" s="142">
        <f>Q106+Q27+Q34+Q45+Q9</f>
        <v>5444241.666666667</v>
      </c>
      <c r="S108" s="84">
        <f>+H108-Q108</f>
        <v>-0.66666666697710752</v>
      </c>
      <c r="T108" s="84"/>
      <c r="U108" s="84"/>
    </row>
    <row r="109" spans="1:21" hidden="1" x14ac:dyDescent="0.35">
      <c r="A109" s="217" t="s">
        <v>221</v>
      </c>
      <c r="B109" s="219"/>
      <c r="C109" s="149"/>
      <c r="D109" s="221" t="s">
        <v>222</v>
      </c>
      <c r="E109" s="150" t="s">
        <v>223</v>
      </c>
      <c r="F109" s="151"/>
      <c r="G109" s="152"/>
      <c r="H109" s="153"/>
      <c r="I109" s="154" t="e">
        <f t="shared" ref="I109:O109" si="34">SUM(I8:I108)</f>
        <v>#REF!</v>
      </c>
      <c r="J109" s="155" t="e">
        <f t="shared" si="34"/>
        <v>#REF!</v>
      </c>
      <c r="K109" s="156" t="e">
        <f t="shared" si="34"/>
        <v>#REF!</v>
      </c>
      <c r="L109" s="154">
        <f t="shared" si="34"/>
        <v>4121392</v>
      </c>
      <c r="M109" s="157">
        <f t="shared" si="34"/>
        <v>6004475.333333334</v>
      </c>
      <c r="N109" s="157">
        <f t="shared" si="34"/>
        <v>8448057</v>
      </c>
      <c r="O109" s="156">
        <f t="shared" si="34"/>
        <v>7336472</v>
      </c>
      <c r="P109" s="158" t="e">
        <f>P108</f>
        <v>#REF!</v>
      </c>
      <c r="Q109" s="158">
        <f>Q108</f>
        <v>5444241.666666667</v>
      </c>
      <c r="S109" s="84"/>
      <c r="T109" s="84"/>
      <c r="U109" s="84"/>
    </row>
    <row r="110" spans="1:21" ht="23.5" hidden="1" thickBot="1" x14ac:dyDescent="0.4">
      <c r="A110" s="218"/>
      <c r="B110" s="220"/>
      <c r="C110" s="159"/>
      <c r="D110" s="222"/>
      <c r="E110" s="160" t="s">
        <v>224</v>
      </c>
      <c r="F110" s="161"/>
      <c r="G110" s="162"/>
      <c r="H110" s="163"/>
      <c r="I110" s="164" t="e">
        <f>I109</f>
        <v>#REF!</v>
      </c>
      <c r="J110" s="165" t="e">
        <f>I110+J109</f>
        <v>#REF!</v>
      </c>
      <c r="K110" s="166" t="e">
        <f>J110+K109</f>
        <v>#REF!</v>
      </c>
      <c r="L110" s="164">
        <f>L109</f>
        <v>4121392</v>
      </c>
      <c r="M110" s="165">
        <f>L110+M109</f>
        <v>10125867.333333334</v>
      </c>
      <c r="N110" s="165">
        <f>M110+N109</f>
        <v>18573924.333333336</v>
      </c>
      <c r="O110" s="166">
        <f>N110+O109</f>
        <v>25910396.333333336</v>
      </c>
      <c r="P110" s="167"/>
      <c r="Q110" s="167"/>
      <c r="S110" s="84"/>
      <c r="T110" s="84"/>
      <c r="U110" s="84"/>
    </row>
    <row r="111" spans="1:21" ht="15" thickBot="1" x14ac:dyDescent="0.4">
      <c r="G111" s="168"/>
    </row>
    <row r="112" spans="1:21" x14ac:dyDescent="0.35">
      <c r="B112" s="169" t="s">
        <v>225</v>
      </c>
      <c r="C112" s="170"/>
      <c r="D112" s="171" t="s">
        <v>226</v>
      </c>
      <c r="E112" s="172">
        <f>SUM(E113:E117)</f>
        <v>0</v>
      </c>
      <c r="F112" s="173">
        <f>SUM(F113:F117)</f>
        <v>366000</v>
      </c>
      <c r="G112" s="174">
        <v>564500</v>
      </c>
      <c r="H112" s="175">
        <f t="shared" ref="H112:Q112" si="35">SUM(H113:H117)</f>
        <v>128000.16666666667</v>
      </c>
      <c r="I112" s="175">
        <f t="shared" si="35"/>
        <v>0</v>
      </c>
      <c r="J112" s="175">
        <f t="shared" si="35"/>
        <v>33000</v>
      </c>
      <c r="K112" s="175">
        <f t="shared" si="35"/>
        <v>33000</v>
      </c>
      <c r="L112" s="175">
        <f t="shared" si="35"/>
        <v>31000.166666666668</v>
      </c>
      <c r="M112" s="175">
        <f t="shared" si="35"/>
        <v>25000</v>
      </c>
      <c r="N112" s="175">
        <f t="shared" si="35"/>
        <v>47000</v>
      </c>
      <c r="O112" s="175">
        <f t="shared" si="35"/>
        <v>25000</v>
      </c>
      <c r="P112" s="175">
        <f t="shared" si="35"/>
        <v>66000</v>
      </c>
      <c r="Q112" s="175">
        <f t="shared" si="35"/>
        <v>128000.16666666667</v>
      </c>
    </row>
    <row r="113" spans="2:17" ht="63" customHeight="1" x14ac:dyDescent="0.35">
      <c r="B113" s="176" t="s">
        <v>227</v>
      </c>
      <c r="C113" s="75"/>
      <c r="D113" s="90" t="s">
        <v>228</v>
      </c>
      <c r="E113" s="177" t="s">
        <v>229</v>
      </c>
      <c r="F113" s="37">
        <v>111500</v>
      </c>
      <c r="G113" s="38">
        <v>111500</v>
      </c>
      <c r="H113" s="78">
        <v>30000</v>
      </c>
      <c r="I113" s="178">
        <v>0</v>
      </c>
      <c r="J113" s="80">
        <v>0</v>
      </c>
      <c r="K113" s="80">
        <f>SUM(I113:J113)</f>
        <v>0</v>
      </c>
      <c r="L113" s="80">
        <v>7500</v>
      </c>
      <c r="M113" s="80">
        <v>7500</v>
      </c>
      <c r="N113" s="80">
        <v>7500</v>
      </c>
      <c r="O113" s="82">
        <v>7500</v>
      </c>
      <c r="P113" s="179">
        <f>SUM(I113:K113)</f>
        <v>0</v>
      </c>
      <c r="Q113" s="83">
        <f>SUM(L113:O113)</f>
        <v>30000</v>
      </c>
    </row>
    <row r="114" spans="2:17" ht="46" x14ac:dyDescent="0.35">
      <c r="B114" s="176" t="s">
        <v>230</v>
      </c>
      <c r="C114" s="75"/>
      <c r="D114" s="90" t="s">
        <v>231</v>
      </c>
      <c r="E114" s="177" t="s">
        <v>232</v>
      </c>
      <c r="F114" s="37">
        <v>32500</v>
      </c>
      <c r="G114" s="38">
        <v>30000</v>
      </c>
      <c r="H114" s="78">
        <v>30000</v>
      </c>
      <c r="I114" s="178"/>
      <c r="J114" s="80"/>
      <c r="K114" s="80"/>
      <c r="L114" s="80">
        <v>7500</v>
      </c>
      <c r="M114" s="80">
        <v>7500</v>
      </c>
      <c r="N114" s="80">
        <v>7500</v>
      </c>
      <c r="O114" s="82">
        <v>7500</v>
      </c>
      <c r="P114" s="179">
        <f>SUM(I114:K114)</f>
        <v>0</v>
      </c>
      <c r="Q114" s="83">
        <f>SUM(L114:O114)</f>
        <v>30000</v>
      </c>
    </row>
    <row r="115" spans="2:17" ht="30.65" customHeight="1" x14ac:dyDescent="0.35">
      <c r="B115" s="176" t="s">
        <v>233</v>
      </c>
      <c r="C115" s="75"/>
      <c r="D115" s="90" t="s">
        <v>234</v>
      </c>
      <c r="E115" s="177" t="s">
        <v>235</v>
      </c>
      <c r="F115" s="37">
        <v>54000</v>
      </c>
      <c r="G115" s="38">
        <v>54000</v>
      </c>
      <c r="H115" s="78">
        <v>12000</v>
      </c>
      <c r="I115" s="178">
        <v>0</v>
      </c>
      <c r="J115" s="80">
        <v>0</v>
      </c>
      <c r="K115" s="80">
        <f>SUM(I115:J115)</f>
        <v>0</v>
      </c>
      <c r="L115" s="80">
        <v>6000</v>
      </c>
      <c r="M115" s="80">
        <v>0</v>
      </c>
      <c r="N115" s="80">
        <v>6000</v>
      </c>
      <c r="O115" s="82">
        <v>0</v>
      </c>
      <c r="P115" s="179">
        <f>SUM(I115:K115)</f>
        <v>0</v>
      </c>
      <c r="Q115" s="83">
        <f>SUM(L115:O115)</f>
        <v>12000</v>
      </c>
    </row>
    <row r="116" spans="2:17" ht="92" x14ac:dyDescent="0.35">
      <c r="B116" s="176" t="s">
        <v>236</v>
      </c>
      <c r="C116" s="75"/>
      <c r="D116" s="90" t="s">
        <v>237</v>
      </c>
      <c r="E116" s="177" t="s">
        <v>238</v>
      </c>
      <c r="F116" s="37">
        <v>48000</v>
      </c>
      <c r="G116" s="38">
        <v>40000</v>
      </c>
      <c r="H116" s="78">
        <f>Q116</f>
        <v>16000.166666666666</v>
      </c>
      <c r="I116" s="178">
        <v>0</v>
      </c>
      <c r="J116" s="80">
        <v>8000</v>
      </c>
      <c r="K116" s="80">
        <f>SUM(I116:J116)</f>
        <v>8000</v>
      </c>
      <c r="L116" s="80">
        <f>K116/F116</f>
        <v>0.16666666666666666</v>
      </c>
      <c r="M116" s="80">
        <v>0</v>
      </c>
      <c r="N116" s="80">
        <v>16000</v>
      </c>
      <c r="O116" s="82">
        <v>0</v>
      </c>
      <c r="P116" s="179">
        <f>SUM(I116:K116)</f>
        <v>16000</v>
      </c>
      <c r="Q116" s="83">
        <f>SUM(L116:O116)</f>
        <v>16000.166666666666</v>
      </c>
    </row>
    <row r="117" spans="2:17" ht="34.5" x14ac:dyDescent="0.35">
      <c r="B117" s="176" t="s">
        <v>239</v>
      </c>
      <c r="C117" s="75"/>
      <c r="D117" s="90" t="s">
        <v>240</v>
      </c>
      <c r="E117" s="177" t="s">
        <v>241</v>
      </c>
      <c r="F117" s="37">
        <v>120000</v>
      </c>
      <c r="G117" s="38">
        <v>95000</v>
      </c>
      <c r="H117" s="78">
        <f>Q117</f>
        <v>40000</v>
      </c>
      <c r="I117" s="178">
        <v>0</v>
      </c>
      <c r="J117" s="80">
        <v>25000</v>
      </c>
      <c r="K117" s="80">
        <f>SUM(I117:J117)</f>
        <v>25000</v>
      </c>
      <c r="L117" s="80">
        <v>10000</v>
      </c>
      <c r="M117" s="80">
        <v>10000</v>
      </c>
      <c r="N117" s="80">
        <v>10000</v>
      </c>
      <c r="O117" s="82">
        <v>10000</v>
      </c>
      <c r="P117" s="179">
        <f>SUM(I117:K117)</f>
        <v>50000</v>
      </c>
      <c r="Q117" s="83">
        <f>SUM(L117:O117)</f>
        <v>40000</v>
      </c>
    </row>
    <row r="118" spans="2:17" x14ac:dyDescent="0.35">
      <c r="B118" s="180"/>
      <c r="C118" s="181"/>
      <c r="D118" s="182" t="s">
        <v>242</v>
      </c>
      <c r="E118" s="183"/>
      <c r="F118" s="184">
        <f t="shared" ref="F118:Q118" si="36">F108+F112</f>
        <v>15254609</v>
      </c>
      <c r="G118" s="102">
        <f t="shared" si="36"/>
        <v>14321710</v>
      </c>
      <c r="H118" s="184">
        <f t="shared" si="36"/>
        <v>5572241.166666667</v>
      </c>
      <c r="I118" s="184">
        <f t="shared" si="36"/>
        <v>0</v>
      </c>
      <c r="J118" s="184">
        <f t="shared" si="36"/>
        <v>33000</v>
      </c>
      <c r="K118" s="184">
        <f t="shared" si="36"/>
        <v>33000</v>
      </c>
      <c r="L118" s="184">
        <f t="shared" si="36"/>
        <v>944994.16666666663</v>
      </c>
      <c r="M118" s="184">
        <f t="shared" si="36"/>
        <v>1296310.6666666667</v>
      </c>
      <c r="N118" s="184">
        <f t="shared" si="36"/>
        <v>1787627</v>
      </c>
      <c r="O118" s="184">
        <f t="shared" si="36"/>
        <v>1543310</v>
      </c>
      <c r="P118" s="185" t="e">
        <f t="shared" si="36"/>
        <v>#REF!</v>
      </c>
      <c r="Q118" s="185">
        <f t="shared" si="36"/>
        <v>5572241.833333334</v>
      </c>
    </row>
    <row r="119" spans="2:17" x14ac:dyDescent="0.35">
      <c r="B119" s="186" t="s">
        <v>243</v>
      </c>
      <c r="C119" s="88"/>
      <c r="D119" s="22" t="s">
        <v>244</v>
      </c>
      <c r="E119" s="97"/>
      <c r="F119" s="87">
        <v>643792</v>
      </c>
      <c r="G119" s="114">
        <v>643792</v>
      </c>
      <c r="H119" s="187">
        <f>4%*H106</f>
        <v>155314.64000000001</v>
      </c>
      <c r="I119" s="188"/>
      <c r="J119" s="94"/>
      <c r="K119" s="189"/>
      <c r="L119" s="94">
        <f>+H119/4</f>
        <v>38828.660000000003</v>
      </c>
      <c r="M119" s="94">
        <v>38828.660000000003</v>
      </c>
      <c r="N119" s="94">
        <v>38828.660000000003</v>
      </c>
      <c r="O119" s="94">
        <v>38828.660000000003</v>
      </c>
      <c r="P119" s="190">
        <v>0</v>
      </c>
      <c r="Q119" s="191">
        <f>SUM(L119:O119)</f>
        <v>155314.64000000001</v>
      </c>
    </row>
    <row r="120" spans="2:17" ht="15" thickBot="1" x14ac:dyDescent="0.4">
      <c r="B120" s="192" t="s">
        <v>19</v>
      </c>
      <c r="C120" s="193"/>
      <c r="D120" s="194" t="s">
        <v>245</v>
      </c>
      <c r="E120" s="195"/>
      <c r="F120" s="161">
        <f>F118+F119</f>
        <v>15898401</v>
      </c>
      <c r="G120" s="196">
        <f>G118+G119</f>
        <v>14965502</v>
      </c>
      <c r="H120" s="211">
        <f>H118+H119</f>
        <v>5727555.8066666666</v>
      </c>
      <c r="I120" s="197"/>
      <c r="J120" s="198"/>
      <c r="K120" s="199"/>
      <c r="L120" s="200">
        <f t="shared" ref="L120:Q120" si="37">L118+L119</f>
        <v>983822.82666666666</v>
      </c>
      <c r="M120" s="200">
        <f t="shared" si="37"/>
        <v>1335139.3266666667</v>
      </c>
      <c r="N120" s="200">
        <f t="shared" si="37"/>
        <v>1826455.66</v>
      </c>
      <c r="O120" s="201">
        <f t="shared" si="37"/>
        <v>1582138.66</v>
      </c>
      <c r="P120" s="201" t="e">
        <f t="shared" si="37"/>
        <v>#REF!</v>
      </c>
      <c r="Q120" s="212">
        <f t="shared" si="37"/>
        <v>5727556.4733333336</v>
      </c>
    </row>
  </sheetData>
  <mergeCells count="10">
    <mergeCell ref="E48:E55"/>
    <mergeCell ref="A109:A110"/>
    <mergeCell ref="B109:B110"/>
    <mergeCell ref="D109:D110"/>
    <mergeCell ref="G2:M2"/>
    <mergeCell ref="G3:M3"/>
    <mergeCell ref="G4:M4"/>
    <mergeCell ref="A6:D6"/>
    <mergeCell ref="E12:E17"/>
    <mergeCell ref="E24:E25"/>
  </mergeCells>
  <conditionalFormatting sqref="P109:Q109">
    <cfRule type="expression" dxfId="2" priority="3">
      <formula>#REF!&lt;&gt;#REF!</formula>
    </cfRule>
  </conditionalFormatting>
  <conditionalFormatting sqref="Q120">
    <cfRule type="expression" dxfId="1" priority="1">
      <formula>#REF!&lt;&gt;#REF!</formula>
    </cfRule>
  </conditionalFormatting>
  <conditionalFormatting sqref="K120">
    <cfRule type="expression" dxfId="0" priority="2">
      <formula>#REF!&lt;&gt;#REF!</formula>
    </cfRule>
  </conditionalFormatting>
  <printOptions horizontalCentered="1" verticalCentered="1"/>
  <pageMargins left="0.31496062992125984" right="0.31496062992125984" top="0.15748031496062992" bottom="0.15748031496062992" header="0.19685039370078741" footer="0.11811023622047245"/>
  <pageSetup paperSize="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PTBA</vt:lpstr>
      <vt:lpstr>PTBA!Zone_d_impression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Astrid NTANGA</cp:lastModifiedBy>
  <cp:lastPrinted>2018-12-31T09:21:47Z</cp:lastPrinted>
  <dcterms:created xsi:type="dcterms:W3CDTF">2018-12-31T09:21:42Z</dcterms:created>
  <dcterms:modified xsi:type="dcterms:W3CDTF">2019-02-08T14:48:43Z</dcterms:modified>
</cp:coreProperties>
</file>