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fabrice.konan\Documents\"/>
    </mc:Choice>
  </mc:AlternateContent>
  <xr:revisionPtr revIDLastSave="0" documentId="13_ncr:1_{DD23DDCA-0861-4D99-8FA4-41CF67713DA4}" xr6:coauthVersionLast="45" xr6:coauthVersionMax="45" xr10:uidLastSave="{00000000-0000-0000-0000-000000000000}"/>
  <bookViews>
    <workbookView xWindow="-98" yWindow="-98" windowWidth="19396" windowHeight="10395" firstSheet="1" activeTab="2" xr2:uid="{3F6CD629-F27C-4214-AA64-8D3595A310F1}"/>
  </bookViews>
  <sheets>
    <sheet name="RAPPORT PTA 2021" sheetId="2" r:id="rId1"/>
    <sheet name="SHEET1" sheetId="5" r:id="rId2"/>
    <sheet name="SHEET2" sheetId="3" r:id="rId3"/>
  </sheets>
  <externalReferences>
    <externalReference r:id="rId4"/>
    <externalReference r:id="rId5"/>
    <externalReference r:id="rId6"/>
    <externalReference r:id="rId7"/>
    <externalReference r:id="rId8"/>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1" i="2" l="1"/>
  <c r="F42" i="2"/>
  <c r="F40" i="2"/>
  <c r="S13" i="3"/>
  <c r="S7" i="3"/>
  <c r="S15" i="3"/>
  <c r="S11" i="3"/>
  <c r="S10" i="3"/>
  <c r="S8" i="3"/>
  <c r="M27" i="2"/>
  <c r="L27" i="2"/>
  <c r="K27" i="2"/>
  <c r="J27" i="2"/>
  <c r="G27" i="2"/>
  <c r="H26" i="2"/>
  <c r="I14" i="2"/>
  <c r="H14" i="2"/>
  <c r="G34" i="2"/>
  <c r="J26" i="5" l="1"/>
  <c r="J16" i="5"/>
  <c r="J18" i="5"/>
  <c r="J13" i="5"/>
  <c r="G73" i="2" l="1"/>
  <c r="J23" i="5" s="1"/>
  <c r="F73" i="2"/>
  <c r="E73" i="2"/>
  <c r="G64" i="2"/>
  <c r="J15" i="5" s="1"/>
  <c r="H72" i="2"/>
  <c r="G43" i="2"/>
  <c r="J12" i="5" s="1"/>
  <c r="F38" i="2"/>
  <c r="G31" i="2"/>
  <c r="F31" i="2"/>
  <c r="H24" i="2"/>
  <c r="F22" i="2"/>
  <c r="I72" i="2"/>
  <c r="I67" i="2"/>
  <c r="I66" i="2"/>
  <c r="I63" i="2"/>
  <c r="I59" i="2"/>
  <c r="I58" i="2"/>
  <c r="I57" i="2"/>
  <c r="I55" i="2"/>
  <c r="I54" i="2"/>
  <c r="I53" i="2"/>
  <c r="I52" i="2"/>
  <c r="I35" i="2"/>
  <c r="I28" i="2"/>
  <c r="I23" i="2"/>
  <c r="I22" i="2"/>
  <c r="I21" i="2"/>
  <c r="I19" i="2"/>
  <c r="I18" i="2"/>
  <c r="I17" i="2"/>
  <c r="I16" i="2"/>
  <c r="I15" i="2"/>
  <c r="F15" i="2"/>
  <c r="F27" i="2" l="1"/>
  <c r="F32" i="2" s="1"/>
  <c r="F43" i="2"/>
  <c r="G32" i="2"/>
  <c r="J10" i="5" s="1"/>
  <c r="S14" i="3"/>
  <c r="S16" i="3" s="1"/>
  <c r="I34" i="2"/>
  <c r="G38" i="2"/>
  <c r="J11" i="5" s="1"/>
  <c r="H41" i="2"/>
  <c r="G44" i="2" l="1"/>
  <c r="G46" i="2" s="1"/>
  <c r="J42" i="2" s="1"/>
  <c r="F44" i="2"/>
  <c r="F45" i="2" s="1"/>
  <c r="F46" i="2" l="1"/>
  <c r="G32" i="5" l="1"/>
  <c r="D32" i="5"/>
  <c r="K30" i="5"/>
  <c r="H30" i="5"/>
  <c r="K29" i="5"/>
  <c r="H29" i="5"/>
  <c r="K28" i="5"/>
  <c r="K26" i="5"/>
  <c r="H26" i="5"/>
  <c r="J25" i="5"/>
  <c r="E25" i="5"/>
  <c r="H25" i="5" s="1"/>
  <c r="G24" i="5"/>
  <c r="H24" i="5" s="1"/>
  <c r="I24" i="5" s="1"/>
  <c r="E23" i="5"/>
  <c r="D23" i="5"/>
  <c r="C23" i="5"/>
  <c r="J22" i="5"/>
  <c r="E22" i="5"/>
  <c r="D22" i="5"/>
  <c r="C22" i="5"/>
  <c r="J21" i="5"/>
  <c r="H21" i="5"/>
  <c r="J20" i="5"/>
  <c r="E20" i="5"/>
  <c r="D20" i="5"/>
  <c r="C20" i="5"/>
  <c r="J19" i="5"/>
  <c r="E19" i="5"/>
  <c r="D19" i="5"/>
  <c r="C19" i="5"/>
  <c r="E18" i="5"/>
  <c r="D18" i="5"/>
  <c r="C18" i="5"/>
  <c r="J17" i="5"/>
  <c r="E17" i="5"/>
  <c r="D17" i="5"/>
  <c r="C17" i="5"/>
  <c r="E16" i="5"/>
  <c r="D16" i="5"/>
  <c r="C16" i="5"/>
  <c r="G15" i="5"/>
  <c r="E15" i="5"/>
  <c r="D15" i="5"/>
  <c r="C15" i="5"/>
  <c r="F14" i="5"/>
  <c r="F31" i="5" s="1"/>
  <c r="F33" i="5" s="1"/>
  <c r="H13" i="5"/>
  <c r="G12" i="5"/>
  <c r="E12" i="5"/>
  <c r="D12" i="5"/>
  <c r="C12" i="5"/>
  <c r="G11" i="5"/>
  <c r="G9" i="5" s="1"/>
  <c r="E11" i="5"/>
  <c r="D11" i="5"/>
  <c r="C11" i="5"/>
  <c r="E10" i="5"/>
  <c r="D10" i="5"/>
  <c r="C10" i="5"/>
  <c r="F9" i="5"/>
  <c r="L15" i="3"/>
  <c r="L16" i="3" s="1"/>
  <c r="L6" i="3" s="1"/>
  <c r="I14" i="3"/>
  <c r="I16" i="3" s="1"/>
  <c r="H14" i="3"/>
  <c r="H16" i="3" s="1"/>
  <c r="P13" i="3"/>
  <c r="M13" i="3"/>
  <c r="L13" i="3"/>
  <c r="J13" i="3"/>
  <c r="Q12" i="3"/>
  <c r="T12" i="3" s="1"/>
  <c r="O12" i="3"/>
  <c r="P12" i="3" s="1"/>
  <c r="L12" i="3"/>
  <c r="M12" i="3" s="1"/>
  <c r="P11" i="3"/>
  <c r="O11" i="3"/>
  <c r="M11" i="3"/>
  <c r="L11" i="3"/>
  <c r="J11" i="3"/>
  <c r="P10" i="3"/>
  <c r="M10" i="3"/>
  <c r="L10" i="3"/>
  <c r="J10" i="3"/>
  <c r="Q9" i="3"/>
  <c r="T9" i="3" s="1"/>
  <c r="O9" i="3"/>
  <c r="P9" i="3" s="1"/>
  <c r="L9" i="3"/>
  <c r="M9" i="3" s="1"/>
  <c r="P8" i="3"/>
  <c r="M8" i="3"/>
  <c r="L8" i="3"/>
  <c r="J8" i="3"/>
  <c r="O7" i="3"/>
  <c r="O14" i="3" s="1"/>
  <c r="N7" i="3"/>
  <c r="N14" i="3" s="1"/>
  <c r="M7" i="3"/>
  <c r="L7" i="3"/>
  <c r="J7" i="3"/>
  <c r="O6" i="3"/>
  <c r="K6" i="3"/>
  <c r="I73" i="2"/>
  <c r="H71" i="2"/>
  <c r="H70" i="2"/>
  <c r="H68" i="2"/>
  <c r="H67" i="2"/>
  <c r="H66" i="2"/>
  <c r="H63" i="2"/>
  <c r="H59" i="2"/>
  <c r="H58" i="2"/>
  <c r="H57" i="2"/>
  <c r="H56" i="2"/>
  <c r="H55" i="2"/>
  <c r="H54" i="2"/>
  <c r="H53" i="2"/>
  <c r="H52" i="2"/>
  <c r="H35" i="2"/>
  <c r="H34" i="2"/>
  <c r="H28" i="2"/>
  <c r="H23" i="2"/>
  <c r="H22" i="2"/>
  <c r="H21" i="2"/>
  <c r="H19" i="2"/>
  <c r="H18" i="2"/>
  <c r="H17" i="2"/>
  <c r="H16" i="2"/>
  <c r="H15" i="2"/>
  <c r="H13" i="2"/>
  <c r="L73" i="2"/>
  <c r="K73" i="2"/>
  <c r="E51" i="2"/>
  <c r="H51" i="2" s="1"/>
  <c r="E42" i="2"/>
  <c r="E40" i="2"/>
  <c r="E38" i="2"/>
  <c r="I38" i="2" s="1"/>
  <c r="E31" i="2"/>
  <c r="I31" i="2" s="1"/>
  <c r="E20" i="2"/>
  <c r="E27" i="2" s="1"/>
  <c r="H38" i="2" l="1"/>
  <c r="H73" i="2"/>
  <c r="K11" i="3"/>
  <c r="Q11" i="3" s="1"/>
  <c r="T11" i="3" s="1"/>
  <c r="D14" i="5"/>
  <c r="H40" i="2"/>
  <c r="I40" i="2"/>
  <c r="E43" i="2"/>
  <c r="I20" i="2"/>
  <c r="I27" i="2" s="1"/>
  <c r="H42" i="2"/>
  <c r="I42" i="2"/>
  <c r="E64" i="2"/>
  <c r="I64" i="2" s="1"/>
  <c r="I51" i="2"/>
  <c r="H10" i="5"/>
  <c r="I10" i="5" s="1"/>
  <c r="K8" i="3"/>
  <c r="Q8" i="3" s="1"/>
  <c r="T8" i="3" s="1"/>
  <c r="K13" i="3"/>
  <c r="M14" i="3"/>
  <c r="H64" i="2"/>
  <c r="H74" i="2" s="1"/>
  <c r="G74" i="2"/>
  <c r="I43" i="2"/>
  <c r="H31" i="2"/>
  <c r="K10" i="5"/>
  <c r="H18" i="5"/>
  <c r="K18" i="5" s="1"/>
  <c r="D9" i="5"/>
  <c r="H32" i="5"/>
  <c r="K32" i="5" s="1"/>
  <c r="C9" i="5"/>
  <c r="C31" i="5" s="1"/>
  <c r="C14" i="5"/>
  <c r="H22" i="5"/>
  <c r="K22" i="5" s="1"/>
  <c r="J9" i="5"/>
  <c r="E9" i="5"/>
  <c r="H16" i="5"/>
  <c r="I16" i="5" s="1"/>
  <c r="K10" i="3"/>
  <c r="Q10" i="3" s="1"/>
  <c r="T10" i="3" s="1"/>
  <c r="H11" i="5"/>
  <c r="K11" i="5" s="1"/>
  <c r="H23" i="5"/>
  <c r="K23" i="5" s="1"/>
  <c r="H12" i="5"/>
  <c r="K12" i="5" s="1"/>
  <c r="E14" i="5"/>
  <c r="H17" i="5"/>
  <c r="K17" i="5" s="1"/>
  <c r="H19" i="5"/>
  <c r="I19" i="5" s="1"/>
  <c r="K7" i="3"/>
  <c r="Q7" i="3" s="1"/>
  <c r="T7" i="3" s="1"/>
  <c r="P7" i="3"/>
  <c r="K13" i="5"/>
  <c r="G14" i="5"/>
  <c r="G31" i="5" s="1"/>
  <c r="G33" i="5" s="1"/>
  <c r="H20" i="5"/>
  <c r="K20" i="5" s="1"/>
  <c r="Q13" i="3"/>
  <c r="T13" i="3" s="1"/>
  <c r="J14" i="3"/>
  <c r="J15" i="3" s="1"/>
  <c r="D31" i="5"/>
  <c r="D33" i="5" s="1"/>
  <c r="I25" i="5"/>
  <c r="K25" i="5"/>
  <c r="J14" i="5"/>
  <c r="H15" i="5"/>
  <c r="K15" i="5" s="1"/>
  <c r="M15" i="3"/>
  <c r="M16" i="3" s="1"/>
  <c r="M6" i="3" s="1"/>
  <c r="N15" i="3"/>
  <c r="P14" i="3"/>
  <c r="O15" i="3"/>
  <c r="O16" i="3"/>
  <c r="H20" i="2"/>
  <c r="H27" i="2" s="1"/>
  <c r="E74" i="2" l="1"/>
  <c r="H43" i="2"/>
  <c r="H9" i="5"/>
  <c r="K9" i="5" s="1"/>
  <c r="F64" i="2"/>
  <c r="F74" i="2" s="1"/>
  <c r="E32" i="2"/>
  <c r="I32" i="2" s="1"/>
  <c r="I12" i="5"/>
  <c r="E31" i="5"/>
  <c r="E33" i="5" s="1"/>
  <c r="E35" i="5" s="1"/>
  <c r="I74" i="2"/>
  <c r="H32" i="2"/>
  <c r="G77" i="2"/>
  <c r="G76" i="2"/>
  <c r="G78" i="2"/>
  <c r="I22" i="5"/>
  <c r="K19" i="5"/>
  <c r="H14" i="5"/>
  <c r="K14" i="5" s="1"/>
  <c r="I18" i="5"/>
  <c r="K16" i="5"/>
  <c r="I11" i="5"/>
  <c r="K14" i="3"/>
  <c r="Q14" i="3" s="1"/>
  <c r="T14" i="3" s="1"/>
  <c r="I23" i="5"/>
  <c r="I20" i="5"/>
  <c r="P15" i="3"/>
  <c r="J31" i="5"/>
  <c r="C33" i="5"/>
  <c r="H33" i="5" s="1"/>
  <c r="H31" i="5"/>
  <c r="I9" i="5"/>
  <c r="I15" i="5"/>
  <c r="K15" i="3"/>
  <c r="Q15" i="3" s="1"/>
  <c r="T15" i="3" s="1"/>
  <c r="J16" i="3"/>
  <c r="N16" i="3"/>
  <c r="E75" i="2"/>
  <c r="H44" i="2" l="1"/>
  <c r="H77" i="2" s="1"/>
  <c r="E76" i="2"/>
  <c r="H75" i="2"/>
  <c r="H76" i="2" s="1"/>
  <c r="E44" i="2"/>
  <c r="E45" i="2" s="1"/>
  <c r="F75" i="2"/>
  <c r="F78" i="2" s="1"/>
  <c r="F77" i="2"/>
  <c r="K16" i="3"/>
  <c r="Q16" i="3" s="1"/>
  <c r="I76" i="2"/>
  <c r="G79" i="2"/>
  <c r="S6" i="3" s="1"/>
  <c r="I75" i="2"/>
  <c r="I14" i="5"/>
  <c r="K31" i="5"/>
  <c r="I31" i="5"/>
  <c r="J33" i="5"/>
  <c r="I33" i="5" s="1"/>
  <c r="P16" i="3"/>
  <c r="N6" i="3"/>
  <c r="P6" i="3" s="1"/>
  <c r="J6" i="3"/>
  <c r="F76" i="2" l="1"/>
  <c r="F79" i="2" s="1"/>
  <c r="E77" i="2"/>
  <c r="I77" i="2" s="1"/>
  <c r="I45" i="2"/>
  <c r="H45" i="2"/>
  <c r="E78" i="2"/>
  <c r="I44" i="2"/>
  <c r="Q6" i="3"/>
  <c r="T6" i="3" s="1"/>
  <c r="T16" i="3"/>
  <c r="E46" i="2"/>
  <c r="I46" i="2" s="1"/>
  <c r="K33" i="5"/>
  <c r="I78" i="2" l="1"/>
  <c r="E82" i="2"/>
  <c r="H46" i="2"/>
  <c r="H79" i="2" s="1"/>
  <c r="H78" i="2"/>
  <c r="E79" i="2"/>
  <c r="I79" i="2" s="1"/>
</calcChain>
</file>

<file path=xl/sharedStrings.xml><?xml version="1.0" encoding="utf-8"?>
<sst xmlns="http://schemas.openxmlformats.org/spreadsheetml/2006/main" count="375" uniqueCount="223">
  <si>
    <t>Description</t>
  </si>
  <si>
    <t xml:space="preserve"> </t>
  </si>
  <si>
    <t xml:space="preserve">                    Programme des Nations Unies Pour le développement Côte d’Ivoire</t>
  </si>
  <si>
    <t>Année : 2021</t>
  </si>
  <si>
    <t>Award ID : 00089905</t>
  </si>
  <si>
    <t>N° du projet : 00095943</t>
  </si>
  <si>
    <t xml:space="preserve">Titre du projet : Appui à la planification, la coordination, le suivi et à l'évaluation de la mise en œuvre du Plan Prioritaire de Consolidation de la paix </t>
  </si>
  <si>
    <t>PLANIFICATION DETAILLEE ACTIVITE</t>
  </si>
  <si>
    <t>Actions planifiées</t>
  </si>
  <si>
    <t>Actions détaillées</t>
  </si>
  <si>
    <t>Coût en $ (Prévisions)</t>
  </si>
  <si>
    <t>SOLDE</t>
  </si>
  <si>
    <t>COA</t>
  </si>
  <si>
    <t>Activités Clés/sous activités</t>
  </si>
  <si>
    <t>Résultat Attendu</t>
  </si>
  <si>
    <r>
      <rPr>
        <b/>
        <u/>
        <sz val="11"/>
        <rFont val="Corbel"/>
        <family val="2"/>
      </rPr>
      <t>Produit  1</t>
    </r>
    <r>
      <rPr>
        <b/>
        <sz val="11"/>
        <rFont val="Corbel"/>
        <family val="2"/>
      </rPr>
      <t xml:space="preserve"> : La planification des priorités de consolidation de la paix, la coordination, le suivi-évaluation de leur mise en œuvre, ainsi que  la communication sur les résultats sont assurés de façon efficace.</t>
    </r>
  </si>
  <si>
    <t xml:space="preserve">1.1. Appuyer le fonctionnement du Secrétariat technique, du Comité de Pilotage conjoint et du Comité Technique  des Experts </t>
  </si>
  <si>
    <t>1.1.1.  Assurer les frais généraux de fonctionnement du Secrétariat technique (frais de carburant, acquisition de petit matériel audio visuel et frais de communication, acquisition équipement informatique et mobilier de bureau, fourniture de bureau,technologie supplies, maintenance et entretien, assurance véhicule)</t>
  </si>
  <si>
    <t>Frais de carburant</t>
  </si>
  <si>
    <t>30000</t>
  </si>
  <si>
    <t>11363</t>
  </si>
  <si>
    <t>72300</t>
  </si>
  <si>
    <t>Frais des unifromes du chauffeur BCR</t>
  </si>
  <si>
    <t>DPC</t>
  </si>
  <si>
    <t>74100</t>
  </si>
  <si>
    <t>Frais de réunion (pause café, déjeuner , cocktail etc)</t>
  </si>
  <si>
    <t>75700</t>
  </si>
  <si>
    <t>Acquisition de petit matériel audio visuel et de communication (tel, internet etc)</t>
  </si>
  <si>
    <t>72800</t>
  </si>
  <si>
    <t>Frais de communication (tel, internet etc)</t>
  </si>
  <si>
    <t>72400</t>
  </si>
  <si>
    <t>Acquisition de fourniture / matériel Informatique</t>
  </si>
  <si>
    <t xml:space="preserve">Acquisition de fourniture / matériel  de bureau </t>
  </si>
  <si>
    <t>72500</t>
  </si>
  <si>
    <t>frais de location bureau projet  PBF</t>
  </si>
  <si>
    <t>73100</t>
  </si>
  <si>
    <t xml:space="preserve">conribution budget securitté </t>
  </si>
  <si>
    <t>S/total 1.1.1</t>
  </si>
  <si>
    <t>1.1.2. Organiser les réunions du Comité de Pilotage</t>
  </si>
  <si>
    <t>Au moins 02 sessions tenues pour définir le cadre stratégique d'intervention du PBF/PACoP</t>
  </si>
  <si>
    <t>Frais de réunions (pause café, déjeuner (sandwichs)</t>
  </si>
  <si>
    <t>1.1.3.. Organiser les réunions du Comité Technique des Experts</t>
  </si>
  <si>
    <t xml:space="preserve">Au moins 04 sessions tenues afin valider les rapports périodiques,  les propositions de projets et améliorer l'efficacité des interventions </t>
  </si>
  <si>
    <t xml:space="preserve">1.1.5..Tenir des réunions de coordination du ST chaque 2  semaines </t>
  </si>
  <si>
    <t xml:space="preserve">Au moins 24 réunions tenues pour mieux coordonner la mise en œuvre des activités du Secrétraiat , des organes de pilotages du PBF et des Projets </t>
  </si>
  <si>
    <t>S/total 1.1.2 à 1.1.6</t>
  </si>
  <si>
    <t>Total 1-1</t>
  </si>
  <si>
    <t>1.2.Appuyer la planification stratégique et la coordination des priorités de consolidation de la paix (rémunération SPA /coordonnateur STPBF et ateliers de planification)</t>
  </si>
  <si>
    <t>1.2.1. Rémunérer le Conseiller en Consolidation de la Paix/  Coordonnateur Secrétariat Technique</t>
  </si>
  <si>
    <t xml:space="preserve">Un Conseiller en Consolidation de la Paix/  Coordonnateur Secrétariat Technique est en fonction au niveau du ST/PBF et asssure </t>
  </si>
  <si>
    <t xml:space="preserve">  salaire  P5 (100%)</t>
  </si>
  <si>
    <t>61300-65100</t>
  </si>
  <si>
    <t>1.2.2.. Apporter un appui technique aux Agences et aux  structures récipiendaires des fonds PBF / PACoP et garantir l’assurance qualité pour l’élaboration de documents de projets</t>
  </si>
  <si>
    <t>Au moins 04 propositions de projets apoprouvées</t>
  </si>
  <si>
    <t>Frais de réunions (pause café,  déjeuner (sandwichs) etc)</t>
  </si>
  <si>
    <t>1.2.3. Assurer un conseil et un soutien stratégique au CR et à l'UNCT</t>
  </si>
  <si>
    <t>Au moins deux de notes d'information  ou analyse stratégique en rappport avec la consolidation de la paix et la cohésion sociale  produites</t>
  </si>
  <si>
    <t xml:space="preserve">1.2.4.Assurer la mobilisation de ressources </t>
  </si>
  <si>
    <t>Total 1-2</t>
  </si>
  <si>
    <t xml:space="preserve">1.3. Assuer les capacités techniques du Secrétariat Technique au niveau administratif et logistique </t>
  </si>
  <si>
    <t xml:space="preserve">1.3.1. Assurer la mobilisation de compétences pour l'exercice des fonctions  aux postes d'associé au programme et de chauffeur </t>
  </si>
  <si>
    <t>Une associé au programme est en fonction au niveau du ST/PBF</t>
  </si>
  <si>
    <t>Salaire Personnel d'appui</t>
  </si>
  <si>
    <t>71400</t>
  </si>
  <si>
    <t>Un chauffeur  est  en fonction au niveau du ST/PBF</t>
  </si>
  <si>
    <t>Total 1-3</t>
  </si>
  <si>
    <t>TOTAL PARTIEL ACTIVITY 1</t>
  </si>
  <si>
    <t>Indirect Support Cost (7%)</t>
  </si>
  <si>
    <t>TOTAL  ACTIVITY 1</t>
  </si>
  <si>
    <t>Donors</t>
  </si>
  <si>
    <t>Account</t>
  </si>
  <si>
    <r>
      <rPr>
        <b/>
        <u/>
        <sz val="11"/>
        <rFont val="Corbel"/>
        <family val="2"/>
      </rPr>
      <t>Produit  2</t>
    </r>
    <r>
      <rPr>
        <b/>
        <sz val="11"/>
        <rFont val="Corbel"/>
        <family val="2"/>
      </rPr>
      <t xml:space="preserve">: Le suivi-évaluation et la communication sur les résultats du PACOP sont assurés de manière efficcace  </t>
    </r>
  </si>
  <si>
    <t>2.1 Assurer  les capacités de programmation et suivi-évaluation du Secrétariat technque en (assurer le suivi-évaluation des programmes et projets du PACOP)</t>
  </si>
  <si>
    <t>2.1.1.  Assurer la mobilisation de compétences pour le suivi-évaluation des Projets PNF/PACoP</t>
  </si>
  <si>
    <t>Un analyste en suivi-évaluation/ Chargé de programme  est  en fonction au niveau du ST/PBF</t>
  </si>
  <si>
    <t>Salaire Analyste S-E</t>
  </si>
  <si>
    <t>2.1.2. Assurer l'élaboration des plans de travail annuel  2019 des projets  PACoP</t>
  </si>
  <si>
    <t>10 PTA élaborés (projets) et 01 PTA consolidés PBF/PACoP</t>
  </si>
  <si>
    <t>DSA, Frais atelier hors Abidjan pour 60 pers x 2</t>
  </si>
  <si>
    <t xml:space="preserve">Elaboration des TDR </t>
  </si>
  <si>
    <t xml:space="preserve">Honoraires ENSEA pour la collecte et analyse des données </t>
  </si>
  <si>
    <t>Honoraire consultant Havard</t>
  </si>
  <si>
    <t xml:space="preserve">2.1.4. Assurer un système de rapportage efficace des projest PACoP </t>
  </si>
  <si>
    <t>20 rapports élaborés et  validé par le Comité Technique des Experts et PBSO</t>
  </si>
  <si>
    <t>Coaching pour la préparation des rapport (séance technique, contrôle qualité)</t>
  </si>
  <si>
    <t xml:space="preserve">2.1.4. Renforcer les capacitéés des acgences sur l'exloitation du système informatique de suivi-évaluation </t>
  </si>
  <si>
    <t>40 acteurs des projets PBF/PACoP bénéficient d'une session de formation sur le logiciel de suivi-évaluation   (équipes projet des agences récipiendaires, partenaires de la partie Etat, partenaires privés)</t>
  </si>
  <si>
    <t>Frais d'organisation de l'atelier (location de salle, pause café, déjeuner)</t>
  </si>
  <si>
    <t xml:space="preserve">Le système informatisé pe de suivi-évaluation permet la production des états et rapports selon les besoins du Projet </t>
  </si>
  <si>
    <t xml:space="preserve">Honoraires du cabinet convepteur (BAMASOFT) pour le renforcement de capacité, l'assistance et la miantenance annuel </t>
  </si>
  <si>
    <t>25 acteurs des projets formés sur les thématique de  planification et de suivi-évaluation en matière de consolidation de la paix</t>
  </si>
  <si>
    <t>Atelier (location de salle, pause café, déjeuner,  DSA)</t>
  </si>
  <si>
    <t xml:space="preserve">Honoraire formateurs </t>
  </si>
  <si>
    <t xml:space="preserve">2.1.6.Tenir des réunions de coordination bimestrielles avec l'ensemble des partenaires récipiendaires </t>
  </si>
  <si>
    <t xml:space="preserve">6 réunions du comité de coordination tenues avec les agences récipiendaires et partenaires afin d'améliorer la mise en oeuvre des projets </t>
  </si>
  <si>
    <t>Atelier (location de salle, pause café, déjeuner)</t>
  </si>
  <si>
    <t>2.1.7.Effectuer des missions du conjointe des organes de pilotage et de coordination des fons PBF  pour la supervision et le suivi des interventions des programmes et projets $du PACoP sur le   terrain (intérieur et abidjan) (09 missions)</t>
  </si>
  <si>
    <t>02 mission du CTCE et 01 mission terrain du CdP</t>
  </si>
  <si>
    <t>Formation (Ateliers ,fournitures de base, materiels,frais de déplacement,location de salle)</t>
  </si>
  <si>
    <t>06 missions routinières du ST (MPD,( 5 personnes) PBF BCR        (4 personnes)</t>
  </si>
  <si>
    <t>Dsa ,frais carburant, location de véhicule</t>
  </si>
  <si>
    <t>Total 2--1</t>
  </si>
  <si>
    <t>2.2  Mettre en œuvre la stratégie de communication</t>
  </si>
  <si>
    <t>2.2.1 Rémunérer un consultant nationalen en communication</t>
  </si>
  <si>
    <t xml:space="preserve">Un  consultant national  assure le renforcement des capacités du Secrétariat pour la mise en œuvre de la stratégie de communication </t>
  </si>
  <si>
    <t>(honoraires, consultant)</t>
  </si>
  <si>
    <t xml:space="preserve"> VLA</t>
  </si>
  <si>
    <t>Un plan de communication est validé avec les parties prenantes et les CoPil</t>
  </si>
  <si>
    <t>2.2.3 Assuer les reportsage lors des activités terrains  et des missions de suivi des agences et du ST/PBF</t>
  </si>
  <si>
    <t>Au moins 04 reportages sont réalisés</t>
  </si>
  <si>
    <t>2.2.4. Assurer l'animation des réseaux sociaux afin d'améliorer la visibilité des interventions du PBF/PACoP</t>
  </si>
  <si>
    <t>les activités et résulats majeures des projets sont relayés sur les réseaux sociaux (tweeter, facebook, etc.)</t>
  </si>
  <si>
    <t>2.2.5. Elaborer des documents et supports de communication</t>
  </si>
  <si>
    <t xml:space="preserve">4  fiilms documentaires courts  sur l'impact des projest et les snt réalisés; Au moins 04 format de supports visuels produits </t>
  </si>
  <si>
    <t>Frais fournisseurs</t>
  </si>
  <si>
    <t>Total 2-2</t>
  </si>
  <si>
    <t>TOTAL PARTIEL ACTIVITY 2</t>
  </si>
  <si>
    <t>SOUS TOTAL  ACTIVITY 2</t>
  </si>
  <si>
    <t xml:space="preserve">TOTAL GENRAL ACTIVITY </t>
  </si>
  <si>
    <t>Indirect Support Cost Général   (7%)</t>
  </si>
  <si>
    <t xml:space="preserve">TOTAL GENRAL </t>
  </si>
  <si>
    <t>Tableau 2 - Budget de projet PBF par categorie de cout de l'ONU</t>
  </si>
  <si>
    <t>Note: S'il s'agit d'une revision budgetaire, veuillez inclure des colonnes additionnelles pour montrer les changements</t>
  </si>
  <si>
    <t>CATEGORIES</t>
  </si>
  <si>
    <t xml:space="preserve">Agence Recipiendiaire </t>
  </si>
  <si>
    <t>Agence Recipiendiaire</t>
  </si>
  <si>
    <t>Total tranche 1</t>
  </si>
  <si>
    <t>Total tranche 2</t>
  </si>
  <si>
    <t>Tranche 3</t>
  </si>
  <si>
    <t>Budget 2020</t>
  </si>
  <si>
    <t>Tranche 4</t>
  </si>
  <si>
    <t xml:space="preserve">Tranche 5 </t>
  </si>
  <si>
    <t>Budget 2021</t>
  </si>
  <si>
    <t>Tranche 6</t>
  </si>
  <si>
    <t>Tranche 7</t>
  </si>
  <si>
    <t xml:space="preserve"> TOTAL PROJET</t>
  </si>
  <si>
    <t>Tranche 1 (70%)</t>
  </si>
  <si>
    <t>Tranche 2 (30%)</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</si>
  <si>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</si>
  <si>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</si>
  <si>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</si>
  <si>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</si>
  <si>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</si>
  <si>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</si>
  <si>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</si>
  <si>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</si>
  <si>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</si>
  <si>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</si>
  <si>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</si>
  <si>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</si>
  <si>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</si>
  <si>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</si>
  <si>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</si>
  <si>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r>
      <t xml:space="preserve">Budget par agence recipiendiaire en USD - SECRETARIAT TECHNIQUE  TRANCHE 1,                         </t>
    </r>
    <r>
      <rPr>
        <b/>
        <sz val="12"/>
        <color theme="1"/>
        <rFont val="Times New Roman"/>
        <family val="1"/>
      </rPr>
      <t xml:space="preserve"> 1 150 000 USD</t>
    </r>
  </si>
  <si>
    <r>
      <t xml:space="preserve">Budget par agence recipiendiaire en USD tranche2,                       </t>
    </r>
    <r>
      <rPr>
        <b/>
        <sz val="12"/>
        <color theme="1"/>
        <rFont val="Times New Roman"/>
        <family val="1"/>
      </rPr>
      <t>500 000USD</t>
    </r>
  </si>
  <si>
    <r>
      <t xml:space="preserve">Budget par agence recipiendiaire en USD tranche3             </t>
    </r>
    <r>
      <rPr>
        <b/>
        <sz val="12"/>
        <color theme="1"/>
        <rFont val="Times New Roman"/>
        <family val="1"/>
      </rPr>
      <t xml:space="preserve">  600 036,38 USD</t>
    </r>
  </si>
  <si>
    <r>
      <t xml:space="preserve">Budget par agence recipiendiaire en USD tranche4           </t>
    </r>
    <r>
      <rPr>
        <sz val="12"/>
        <color theme="5" tint="-0.249977111117893"/>
        <rFont val="Times New Roman"/>
        <family val="1"/>
      </rPr>
      <t xml:space="preserve">  </t>
    </r>
    <r>
      <rPr>
        <b/>
        <sz val="12"/>
        <color theme="5" tint="-0.249977111117893"/>
        <rFont val="Times New Roman"/>
        <family val="1"/>
      </rPr>
      <t xml:space="preserve">  530 379,38 USD</t>
    </r>
  </si>
  <si>
    <r>
      <t xml:space="preserve">Budget par agence recipiendiaire en USD tranche 5           </t>
    </r>
    <r>
      <rPr>
        <sz val="12"/>
        <color theme="5" tint="-0.249977111117893"/>
        <rFont val="Times New Roman"/>
        <family val="1"/>
      </rPr>
      <t xml:space="preserve">  </t>
    </r>
    <r>
      <rPr>
        <b/>
        <sz val="12"/>
        <color theme="5" tint="-0.249977111117893"/>
        <rFont val="Times New Roman"/>
        <family val="1"/>
      </rPr>
      <t xml:space="preserve"> 352 224,38 USD</t>
    </r>
  </si>
  <si>
    <t>TOTAL PROJET</t>
  </si>
  <si>
    <t xml:space="preserve">Pourcentage du budget pour chaque produit ou activité reservé pour action directe sur le genre (cas echeant) </t>
  </si>
  <si>
    <t>Niveau de depense/ engagement actuel en USD (à remplir au moment des rapports de projet)</t>
  </si>
  <si>
    <t>Notes quelconque le cas echeant (.e.g sur types des entrants ou justification du budget)</t>
  </si>
  <si>
    <t>Produit 1.</t>
  </si>
  <si>
    <t>La  Planification  stratégique et la coordination de la mise en œuvre des priorités de consolidation de la paix sont assurées  efficacement par le Comité de Pilotage conjoint</t>
  </si>
  <si>
    <t>Activite 1.1</t>
  </si>
  <si>
    <t>Assurer le Suivi-évaluation du Plan Prioritaire y compris les programmes et projets du PACoP (specialiste M&amp;E)</t>
  </si>
  <si>
    <t>Activite 1.2:</t>
  </si>
  <si>
    <t>Appuyer la planification stratégique et la coordination des priorités de consolidation de la paix (rémunération SPA /coordonnateur STPBF et ateliers de planification)</t>
  </si>
  <si>
    <t>Activite 1.3:</t>
  </si>
  <si>
    <t>Renforcer les capacités techniques du ST (Personnel)</t>
  </si>
  <si>
    <t>GMS</t>
  </si>
  <si>
    <t>Produit 2:</t>
  </si>
  <si>
    <t>Le suivi-évaluation et la communication sur les résultats du Plan Prioritaire sont assurés de manière efficace</t>
  </si>
  <si>
    <t>Activite 2.1:</t>
  </si>
  <si>
    <t>Activite 2.2:</t>
  </si>
  <si>
    <t xml:space="preserve">Réaliser les études de base et finale </t>
  </si>
  <si>
    <t>Activite 2.3:</t>
  </si>
  <si>
    <t>Réaliser l'évaluation du Plan Prioritaire</t>
  </si>
  <si>
    <t>Activite 2.4:</t>
  </si>
  <si>
    <t>Organiser les ateliers de suivi et évaluation (y compris élaboration des outils de suivi)</t>
  </si>
  <si>
    <t>Activite 2.5:</t>
  </si>
  <si>
    <t>Elaborer la cartographie des projets/programmes du PP/base de données de suivi du Programme</t>
  </si>
  <si>
    <t>Activite 2.6:</t>
  </si>
  <si>
    <t>Organiser des revues périodiques du Programme</t>
  </si>
  <si>
    <t>Activite 2.7:</t>
  </si>
  <si>
    <t>Réaliser des missions de terrain</t>
  </si>
  <si>
    <t>Activite 2.8:</t>
  </si>
  <si>
    <t>Elaborer et mettre en œuvre la stratégie de communication</t>
  </si>
  <si>
    <t>Activite 2.9:</t>
  </si>
  <si>
    <t xml:space="preserve">Activités conjointe avec équipe Peace and Development Advisor (PDA) en lien avec la situation politique </t>
  </si>
  <si>
    <t>Activite 2.10</t>
  </si>
  <si>
    <t>GMS ACTIVITY 1+2</t>
  </si>
  <si>
    <t>TOTAL $ pour Resultat 2:</t>
  </si>
  <si>
    <t>Cout de personnel du projet si pas inclus dans les activites si-dessus</t>
  </si>
  <si>
    <t>Couts operationnels si pas inclus dans les activites si-dessus</t>
  </si>
  <si>
    <t>Budget S&amp;E du projet</t>
  </si>
  <si>
    <t>SOUS TOTAL DU BUDGET DE PROJET:</t>
  </si>
  <si>
    <t>Couts indirects (7%):</t>
  </si>
  <si>
    <t>BUDGET TOTAL DU PROJET:</t>
  </si>
  <si>
    <t>Observations</t>
  </si>
  <si>
    <t>FUND</t>
  </si>
  <si>
    <t>Taux Exécution</t>
  </si>
  <si>
    <t>74300</t>
  </si>
  <si>
    <t>Fournitures, produits de base, matériels</t>
  </si>
  <si>
    <t>Engagement 30 AVRIL 2021</t>
  </si>
  <si>
    <t>DEPENSES AU 30 AVRIL 2021</t>
  </si>
  <si>
    <t>DEPENSES</t>
  </si>
  <si>
    <t>CATEGORIE</t>
  </si>
  <si>
    <t>Engagement 31 DEC 2021</t>
  </si>
  <si>
    <t>Au moins 2 000 USD au titre de  ressources complémentaires mobilisés  auprès de bailleurs;  Au moins deux nouveaux partenariats établis pour le financement des interventions</t>
  </si>
  <si>
    <t>71300</t>
  </si>
  <si>
    <t>Un chauffeur  consultant  est  en fonction au niveau du ST/PBF</t>
  </si>
  <si>
    <t>Honoraire  Personnel d'appui</t>
  </si>
  <si>
    <t>Maintenance véhicule</t>
  </si>
  <si>
    <r>
      <rPr>
        <b/>
        <u/>
        <sz val="11"/>
        <color theme="9" tint="-0.249977111117893"/>
        <rFont val="Corbel"/>
        <family val="2"/>
      </rPr>
      <t xml:space="preserve">RESULTAT: </t>
    </r>
    <r>
      <rPr>
        <b/>
        <sz val="11"/>
        <color theme="9" tint="-0.249977111117893"/>
        <rFont val="Corbel"/>
        <family val="2"/>
      </rPr>
      <t xml:space="preserve"> La planification des priorités de consolidation de la paix, la coordination, le suivi-évaluation de leur mise en œuvre, ainsi que  la communication sur les résultats sont assurés de façon efficace.</t>
    </r>
  </si>
  <si>
    <t>2.2.2. Elaborer le plan de communication 2021</t>
  </si>
  <si>
    <t>2.1.5 Assurer le renforcement des capacités Agences et Partenaires  sur la GAR dans le cadre de la consolidation de la paix</t>
  </si>
  <si>
    <t>DEPENSES AU 14 JUIN 2021</t>
  </si>
  <si>
    <t>MOBILIER BUREAU</t>
  </si>
  <si>
    <t>72200</t>
  </si>
  <si>
    <t>FRAIS DIVERS</t>
  </si>
  <si>
    <t>différence  frais d'échanges</t>
  </si>
  <si>
    <t>76100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</si>
</sst>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_-* #,##0.000\ _€_-;\-* #,##0.000\ _€_-;_-* &quot;-&quot;??\ _€_-;_-@_-"/>
    <numFmt numFmtId="166" formatCode="_-* #,##0.000\ _€_-;\-* #,##0.000\ _€_-;_-* &quot;-&quot;???\ _€_-;_-@_-"/>
    <numFmt numFmtId="167" formatCode="_(* #,##0.00_);_(* \(#,##0.00\);_(* &quot;-&quot;??_);_(@_)"/>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name val="Corbel"/>
      <family val="2"/>
    </font>
    <font>
      <sz val="11"/>
      <color theme="1"/>
      <name val="Corbel"/>
      <family val="2"/>
    </font>
    <font>
      <b/>
      <sz val="11"/>
      <name val="Corbel"/>
      <family val="2"/>
    </font>
    <font>
      <sz val="10"/>
      <name val="Arial"/>
      <family val="2"/>
    </font>
    <font>
      <b/>
      <sz val="11"/>
      <color theme="3" tint="-0.249977111117893"/>
      <name val="Corbel"/>
      <family val="2"/>
    </font>
    <font>
      <b/>
      <sz val="11"/>
      <color theme="1"/>
      <name val="Corbel"/>
      <family val="2"/>
    </font>
    <font>
      <b/>
      <u/>
      <sz val="11"/>
      <name val="Corbel"/>
      <family val="2"/>
    </font>
    <font>
      <sz val="11"/>
      <color rgb="FFFF0000"/>
      <name val="Corbel"/>
      <family val="2"/>
    </font>
    <font>
      <b/>
      <sz val="11"/>
      <color rgb="FF00B0F0"/>
      <name val="Corbel"/>
      <family val="2"/>
    </font>
    <font>
      <b/>
      <sz val="11"/>
      <color theme="2" tint="-0.499984740745262"/>
      <name val="Corbel"/>
      <family val="2"/>
    </font>
    <font>
      <sz val="11"/>
      <color theme="1" tint="0.249977111117893"/>
      <name val="Corbel"/>
      <family val="2"/>
    </font>
    <font>
      <sz val="12"/>
      <name val="Corbel"/>
      <family val="2"/>
    </font>
    <font>
      <b/>
      <sz val="12"/>
      <color rgb="FF00B0F0"/>
      <name val="Corbel"/>
      <family val="2"/>
    </font>
    <font>
      <b/>
      <sz val="12"/>
      <color theme="1"/>
      <name val="Calibri"/>
      <family val="2"/>
      <scheme val="minor"/>
    </font>
    <font>
      <b/>
      <sz val="10"/>
      <color theme="1"/>
      <name val="Calibri"/>
      <family val="2"/>
    </font>
    <font>
      <b/>
      <sz val="10"/>
      <name val="Calibri"/>
      <family val="2"/>
    </font>
    <font>
      <b/>
      <sz val="10"/>
      <color rgb="FFFF0000"/>
      <name val="Calibri"/>
      <family val="2"/>
    </font>
    <font>
      <sz val="10"/>
      <color theme="1"/>
      <name val="Times New Roman"/>
      <family val="1"/>
    </font>
    <font>
      <sz val="10"/>
      <color theme="1"/>
      <name val="Calibri"/>
      <family val="2"/>
    </font>
    <font>
      <sz val="10"/>
      <name val="Calibri"/>
      <family val="2"/>
    </font>
    <font>
      <sz val="10"/>
      <color rgb="FFFF0000"/>
      <name val="Calibri"/>
      <family val="2"/>
    </font>
    <font>
      <b/>
      <sz val="10"/>
      <color theme="1"/>
      <name val="Times New Roman"/>
      <family val="1"/>
    </font>
    <font>
      <sz val="12"/>
      <color theme="1"/>
      <name val="Arial"/>
      <family val="2"/>
    </font>
    <font>
      <b/>
      <sz val="16"/>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sz val="12"/>
      <color theme="5" tint="-0.249977111117893"/>
      <name val="Times New Roman"/>
      <family val="1"/>
    </font>
    <font>
      <b/>
      <sz val="12"/>
      <color theme="5" tint="-0.249977111117893"/>
      <name val="Times New Roman"/>
      <family val="1"/>
    </font>
    <font>
      <sz val="12"/>
      <color rgb="FFFF0000"/>
      <name val="Times New Roman"/>
      <family val="1"/>
    </font>
    <font>
      <b/>
      <sz val="12"/>
      <name val="Times New Roman"/>
      <family val="1"/>
    </font>
    <font>
      <b/>
      <sz val="12"/>
      <color rgb="FFFF0000"/>
      <name val="Times New Roman"/>
      <family val="1"/>
    </font>
    <font>
      <sz val="12"/>
      <name val="Times New Roman"/>
      <family val="1"/>
    </font>
    <font>
      <sz val="11"/>
      <name val="Times New Roman"/>
      <family val="1"/>
    </font>
    <font>
      <b/>
      <sz val="11"/>
      <color rgb="FFFF0000"/>
      <name val="Corbel"/>
      <family val="2"/>
    </font>
    <font>
      <b/>
      <sz val="12"/>
      <color theme="1"/>
      <name val="Corbel"/>
      <family val="2"/>
    </font>
    <font>
      <b/>
      <sz val="12"/>
      <color rgb="FFFF0000"/>
      <name val="Corbel"/>
      <family val="2"/>
    </font>
    <font>
      <b/>
      <sz val="12"/>
      <color rgb="FF000000"/>
      <name val="Calibri"/>
      <family val="2"/>
      <scheme val="minor"/>
    </font>
    <font>
      <b/>
      <sz val="11"/>
      <color theme="9" tint="-0.249977111117893"/>
      <name val="Corbel"/>
      <family val="2"/>
    </font>
    <font>
      <sz val="11"/>
      <color theme="9" tint="-0.249977111117893"/>
      <name val="Corbel"/>
      <family val="2"/>
    </font>
    <font>
      <b/>
      <u/>
      <sz val="11"/>
      <color theme="9" tint="-0.249977111117893"/>
      <name val="Corbel"/>
      <family val="2"/>
    </font>
    <font>
      <b/>
      <i/>
      <sz val="11"/>
      <color theme="9" tint="-0.249977111117893"/>
      <name val="Corbel"/>
      <family val="2"/>
    </font>
    <font>
      <i/>
      <sz val="11"/>
      <color theme="9" tint="-0.249977111117893"/>
      <name val="Corbel"/>
      <family val="2"/>
    </font>
    <font>
      <b/>
      <sz val="12"/>
      <color theme="9" tint="-0.249977111117893"/>
      <name val="Corbel"/>
      <family val="2"/>
    </font>
    <font>
      <sz val="11"/>
      <color theme="2" tint="-0.499984740745262"/>
      <name val="Corbel"/>
      <family val="2"/>
    </font>
    <font>
      <b/>
      <sz val="11"/>
      <color rgb="FF00B050"/>
      <name val="Corbel"/>
      <family val="2"/>
    </font>
  </fonts>
  <fills count="18">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CCFF33"/>
        <bgColor indexed="64"/>
      </patternFill>
    </fill>
    <fill>
      <patternFill patternType="solid">
        <fgColor theme="5" tint="0.59999389629810485"/>
        <bgColor indexed="64"/>
      </patternFill>
    </fill>
    <fill>
      <patternFill patternType="solid">
        <fgColor rgb="FF99FF33"/>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39997558519241921"/>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rgb="FF000000"/>
      </right>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164" fontId="1" fillId="0" borderId="0" applyFont="0" applyFill="0" applyBorder="0" applyAlignment="0" applyProtection="0"/>
    <xf numFmtId="0" fontId="1" fillId="0" borderId="0"/>
  </cellStyleXfs>
  <cellXfs count="259">
    <xf numFmtId="0" fontId="0" fillId="0" borderId="0" xfId="0"/>
    <xf numFmtId="0" fontId="4" fillId="0" borderId="0" xfId="0" applyFont="1"/>
    <xf numFmtId="0" fontId="5" fillId="0" borderId="0" xfId="0" applyFont="1"/>
    <xf numFmtId="0" fontId="6" fillId="0" borderId="0" xfId="3" applyFont="1" applyAlignment="1">
      <alignment horizontal="left" vertical="center"/>
    </xf>
    <xf numFmtId="0" fontId="5" fillId="0" borderId="0" xfId="3" applyFont="1"/>
    <xf numFmtId="0" fontId="4" fillId="0" borderId="0" xfId="3" applyFont="1" applyAlignment="1">
      <alignment vertical="center"/>
    </xf>
    <xf numFmtId="0" fontId="8" fillId="0" borderId="0" xfId="3" applyFont="1" applyAlignment="1">
      <alignment vertical="center"/>
    </xf>
    <xf numFmtId="0" fontId="6" fillId="0" borderId="2" xfId="3" applyFont="1" applyBorder="1" applyAlignment="1">
      <alignment horizontal="center" vertical="center" wrapText="1"/>
    </xf>
    <xf numFmtId="0" fontId="4" fillId="6" borderId="2" xfId="3" applyFont="1" applyFill="1" applyBorder="1" applyAlignment="1">
      <alignment horizontal="center" vertical="center" wrapText="1"/>
    </xf>
    <xf numFmtId="49" fontId="4" fillId="6" borderId="2" xfId="3" applyNumberFormat="1" applyFont="1" applyFill="1" applyBorder="1" applyAlignment="1">
      <alignment horizontal="center" vertical="center"/>
    </xf>
    <xf numFmtId="49" fontId="4" fillId="6" borderId="2" xfId="3" applyNumberFormat="1" applyFont="1" applyFill="1" applyBorder="1" applyAlignment="1">
      <alignment horizontal="center" vertical="center" wrapText="1"/>
    </xf>
    <xf numFmtId="0" fontId="4" fillId="6" borderId="2" xfId="6" applyFont="1" applyFill="1" applyBorder="1" applyAlignment="1" applyProtection="1">
      <alignment horizontal="center" vertical="center" wrapText="1"/>
      <protection hidden="1"/>
    </xf>
    <xf numFmtId="0" fontId="5" fillId="2" borderId="0" xfId="0" applyFont="1" applyFill="1"/>
    <xf numFmtId="164" fontId="4" fillId="6" borderId="2" xfId="5" applyFont="1" applyFill="1" applyBorder="1" applyAlignment="1">
      <alignment horizontal="center" vertical="center"/>
    </xf>
    <xf numFmtId="49" fontId="4" fillId="0" borderId="2" xfId="3" applyNumberFormat="1" applyFont="1" applyBorder="1" applyAlignment="1">
      <alignment horizontal="center" vertical="center"/>
    </xf>
    <xf numFmtId="49" fontId="4" fillId="0" borderId="2" xfId="3" applyNumberFormat="1" applyFont="1" applyBorder="1" applyAlignment="1">
      <alignment horizontal="center" vertical="center" wrapText="1"/>
    </xf>
    <xf numFmtId="0" fontId="4" fillId="0" borderId="2" xfId="3" applyFont="1" applyBorder="1" applyAlignment="1">
      <alignment horizontal="center" vertical="center" wrapText="1"/>
    </xf>
    <xf numFmtId="0" fontId="11" fillId="0" borderId="0" xfId="0" applyFont="1"/>
    <xf numFmtId="0" fontId="11" fillId="6" borderId="2" xfId="3" applyFont="1" applyFill="1" applyBorder="1" applyAlignment="1">
      <alignment horizontal="center" vertical="center" wrapText="1"/>
    </xf>
    <xf numFmtId="0" fontId="11" fillId="0" borderId="2" xfId="3" applyFont="1" applyBorder="1" applyAlignment="1">
      <alignment horizontal="center" vertical="center" wrapText="1"/>
    </xf>
    <xf numFmtId="0" fontId="14" fillId="0" borderId="2" xfId="3" applyFont="1" applyBorder="1" applyAlignment="1">
      <alignment horizontal="center" vertical="center" wrapText="1"/>
    </xf>
    <xf numFmtId="49" fontId="14" fillId="0" borderId="2" xfId="3" applyNumberFormat="1" applyFont="1" applyBorder="1" applyAlignment="1">
      <alignment horizontal="center" vertical="center"/>
    </xf>
    <xf numFmtId="49" fontId="14" fillId="0" borderId="2" xfId="3" applyNumberFormat="1" applyFont="1" applyBorder="1" applyAlignment="1">
      <alignment horizontal="center" vertical="center" wrapText="1"/>
    </xf>
    <xf numFmtId="0" fontId="14" fillId="0" borderId="2" xfId="6" applyFont="1" applyBorder="1" applyAlignment="1" applyProtection="1">
      <alignment horizontal="center" vertical="center" wrapText="1"/>
      <protection hidden="1"/>
    </xf>
    <xf numFmtId="164" fontId="14" fillId="6" borderId="2" xfId="5" applyFont="1" applyFill="1" applyBorder="1" applyAlignment="1" applyProtection="1">
      <alignment horizontal="center" vertical="center" wrapText="1"/>
      <protection hidden="1"/>
    </xf>
    <xf numFmtId="164" fontId="12" fillId="6" borderId="2" xfId="5" applyFont="1" applyFill="1" applyBorder="1" applyAlignment="1">
      <alignment horizontal="center" vertical="center"/>
    </xf>
    <xf numFmtId="164" fontId="6" fillId="8" borderId="2" xfId="5" applyFont="1" applyFill="1" applyBorder="1" applyAlignment="1">
      <alignment horizontal="center" vertical="center"/>
    </xf>
    <xf numFmtId="164" fontId="16" fillId="0" borderId="2" xfId="5" applyFont="1" applyFill="1" applyBorder="1" applyAlignment="1">
      <alignment horizontal="center" vertical="center" wrapText="1"/>
    </xf>
    <xf numFmtId="164" fontId="15" fillId="0" borderId="2" xfId="5" applyFont="1" applyFill="1" applyBorder="1" applyAlignment="1">
      <alignment horizontal="center" vertical="center" wrapText="1"/>
    </xf>
    <xf numFmtId="164" fontId="15" fillId="0" borderId="2" xfId="5" applyFont="1" applyBorder="1" applyAlignment="1">
      <alignment horizontal="center" vertical="center" wrapText="1"/>
    </xf>
    <xf numFmtId="0" fontId="4" fillId="6" borderId="2" xfId="0" applyFont="1" applyFill="1" applyBorder="1" applyAlignment="1">
      <alignment horizontal="center" vertical="center" wrapText="1"/>
    </xf>
    <xf numFmtId="0" fontId="4" fillId="0" borderId="2" xfId="0" applyFont="1" applyBorder="1" applyAlignment="1">
      <alignment horizontal="center" vertical="center" wrapText="1"/>
    </xf>
    <xf numFmtId="164" fontId="6" fillId="9" borderId="2" xfId="5" applyFont="1" applyFill="1" applyBorder="1" applyAlignment="1">
      <alignment horizontal="center" vertical="center" wrapText="1"/>
    </xf>
    <xf numFmtId="165" fontId="5" fillId="0" borderId="0" xfId="0" applyNumberFormat="1" applyFont="1"/>
    <xf numFmtId="166" fontId="5" fillId="0" borderId="0" xfId="0" applyNumberFormat="1" applyFont="1"/>
    <xf numFmtId="166" fontId="9" fillId="0" borderId="0" xfId="0" applyNumberFormat="1" applyFont="1"/>
    <xf numFmtId="0" fontId="17" fillId="0" borderId="0" xfId="0" applyFont="1"/>
    <xf numFmtId="0" fontId="2" fillId="0" borderId="0" xfId="0" applyFont="1"/>
    <xf numFmtId="164" fontId="0" fillId="0" borderId="0" xfId="0" applyNumberFormat="1"/>
    <xf numFmtId="164" fontId="0" fillId="0" borderId="0" xfId="5" applyFont="1"/>
    <xf numFmtId="0" fontId="26" fillId="0" borderId="0" xfId="0" applyFont="1" applyAlignment="1">
      <alignment vertical="center"/>
    </xf>
    <xf numFmtId="0" fontId="0" fillId="0" borderId="0" xfId="0" applyAlignment="1">
      <alignment horizontal="center"/>
    </xf>
    <xf numFmtId="0" fontId="3" fillId="0" borderId="0" xfId="0" applyFont="1"/>
    <xf numFmtId="0" fontId="29" fillId="0" borderId="2" xfId="0" applyFont="1" applyBorder="1" applyAlignment="1">
      <alignment horizontal="center" vertical="center" wrapText="1"/>
    </xf>
    <xf numFmtId="0" fontId="29" fillId="2"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0" fillId="0" borderId="2" xfId="0" applyFont="1" applyBorder="1" applyAlignment="1">
      <alignment vertical="center" wrapText="1"/>
    </xf>
    <xf numFmtId="0" fontId="34" fillId="0" borderId="2" xfId="0" applyFont="1" applyBorder="1" applyAlignment="1">
      <alignment vertical="center" wrapText="1"/>
    </xf>
    <xf numFmtId="164" fontId="30" fillId="0" borderId="2" xfId="0" applyNumberFormat="1" applyFont="1" applyBorder="1" applyAlignment="1">
      <alignment horizontal="right" vertical="center"/>
    </xf>
    <xf numFmtId="164" fontId="30" fillId="0" borderId="2" xfId="0" applyNumberFormat="1" applyFont="1" applyBorder="1" applyAlignment="1">
      <alignment horizontal="right" vertical="center" wrapText="1"/>
    </xf>
    <xf numFmtId="9" fontId="35" fillId="0" borderId="2" xfId="2" applyFont="1" applyBorder="1" applyAlignment="1">
      <alignment horizontal="center" vertical="center" wrapText="1"/>
    </xf>
    <xf numFmtId="0" fontId="0" fillId="10" borderId="0" xfId="0" applyFill="1"/>
    <xf numFmtId="0" fontId="29" fillId="0" borderId="2" xfId="0" applyFont="1" applyBorder="1" applyAlignment="1">
      <alignment vertical="center" wrapText="1"/>
    </xf>
    <xf numFmtId="0" fontId="36" fillId="0" borderId="2" xfId="0" applyFont="1" applyBorder="1" applyAlignment="1">
      <alignment vertical="center" wrapText="1"/>
    </xf>
    <xf numFmtId="164" fontId="29" fillId="0" borderId="2" xfId="0" applyNumberFormat="1" applyFont="1" applyBorder="1" applyAlignment="1">
      <alignment horizontal="center" vertical="center"/>
    </xf>
    <xf numFmtId="164" fontId="29" fillId="0" borderId="2" xfId="5" applyFont="1" applyBorder="1" applyAlignment="1">
      <alignment horizontal="center" vertical="center" wrapText="1"/>
    </xf>
    <xf numFmtId="164" fontId="29" fillId="0" borderId="2" xfId="0" applyNumberFormat="1" applyFont="1" applyBorder="1" applyAlignment="1">
      <alignment horizontal="center" vertical="center" wrapText="1"/>
    </xf>
    <xf numFmtId="164" fontId="29" fillId="0" borderId="2" xfId="5" applyFont="1" applyBorder="1" applyAlignment="1">
      <alignment horizontal="right" vertical="center" wrapText="1"/>
    </xf>
    <xf numFmtId="164" fontId="29" fillId="0" borderId="2" xfId="0" applyNumberFormat="1" applyFont="1" applyBorder="1" applyAlignment="1">
      <alignment horizontal="right" vertical="center" wrapText="1"/>
    </xf>
    <xf numFmtId="0" fontId="29" fillId="0" borderId="2" xfId="0" applyFont="1" applyBorder="1" applyAlignment="1">
      <alignment horizontal="justify" vertical="center" wrapText="1"/>
    </xf>
    <xf numFmtId="164" fontId="29" fillId="0" borderId="2" xfId="0" applyNumberFormat="1" applyFont="1" applyBorder="1" applyAlignment="1">
      <alignment horizontal="right"/>
    </xf>
    <xf numFmtId="164" fontId="34" fillId="0" borderId="2" xfId="0" applyNumberFormat="1" applyFont="1" applyBorder="1" applyAlignment="1">
      <alignment horizontal="right" vertical="center" wrapText="1"/>
    </xf>
    <xf numFmtId="0" fontId="36" fillId="2" borderId="2" xfId="0" applyFont="1" applyFill="1" applyBorder="1" applyAlignment="1">
      <alignment vertical="center" wrapText="1"/>
    </xf>
    <xf numFmtId="164" fontId="36" fillId="0" borderId="2" xfId="0" applyNumberFormat="1" applyFont="1" applyBorder="1" applyAlignment="1">
      <alignment horizontal="right" vertical="center" wrapText="1"/>
    </xf>
    <xf numFmtId="164" fontId="36" fillId="0" borderId="2" xfId="5" applyFont="1" applyBorder="1" applyAlignment="1">
      <alignment horizontal="right" vertical="center" wrapText="1"/>
    </xf>
    <xf numFmtId="164" fontId="36" fillId="0" borderId="2" xfId="5" applyFont="1" applyBorder="1" applyAlignment="1">
      <alignment vertical="center" wrapText="1"/>
    </xf>
    <xf numFmtId="164" fontId="36" fillId="0" borderId="2" xfId="0" applyNumberFormat="1" applyFont="1" applyBorder="1" applyAlignment="1">
      <alignment horizontal="center" vertical="center" wrapText="1"/>
    </xf>
    <xf numFmtId="164" fontId="36" fillId="0" borderId="2" xfId="5" applyFont="1" applyBorder="1" applyAlignment="1">
      <alignment horizontal="center" vertical="center" wrapText="1"/>
    </xf>
    <xf numFmtId="164" fontId="30" fillId="0" borderId="2" xfId="5" applyFont="1" applyBorder="1" applyAlignment="1">
      <alignment vertical="center" wrapText="1"/>
    </xf>
    <xf numFmtId="9" fontId="35" fillId="0" borderId="2" xfId="2" applyFont="1" applyFill="1" applyBorder="1" applyAlignment="1">
      <alignment horizontal="center" vertical="center" wrapText="1"/>
    </xf>
    <xf numFmtId="0" fontId="36" fillId="0" borderId="3" xfId="0" applyFont="1" applyBorder="1" applyAlignment="1">
      <alignment vertical="center" wrapText="1"/>
    </xf>
    <xf numFmtId="164" fontId="36" fillId="0" borderId="2" xfId="5" applyFont="1" applyBorder="1" applyAlignment="1">
      <alignment horizontal="right" wrapText="1"/>
    </xf>
    <xf numFmtId="0" fontId="36" fillId="0" borderId="2" xfId="0" applyFont="1" applyBorder="1" applyAlignment="1">
      <alignment horizontal="center" vertical="center" wrapText="1"/>
    </xf>
    <xf numFmtId="0" fontId="36" fillId="0" borderId="2" xfId="0" applyFont="1" applyBorder="1" applyAlignment="1">
      <alignment horizontal="center" wrapText="1"/>
    </xf>
    <xf numFmtId="9" fontId="35" fillId="0" borderId="2" xfId="2" applyFont="1" applyBorder="1" applyAlignment="1">
      <alignment vertical="center" wrapText="1"/>
    </xf>
    <xf numFmtId="164" fontId="36" fillId="0" borderId="2" xfId="0" applyNumberFormat="1" applyFont="1" applyBorder="1" applyAlignment="1">
      <alignment vertical="center" wrapText="1"/>
    </xf>
    <xf numFmtId="164" fontId="34" fillId="0" borderId="2" xfId="5" applyFont="1" applyBorder="1" applyAlignment="1">
      <alignment horizontal="center" wrapText="1"/>
    </xf>
    <xf numFmtId="167" fontId="34" fillId="0" borderId="2" xfId="0" applyNumberFormat="1" applyFont="1" applyBorder="1" applyAlignment="1">
      <alignment horizontal="center" vertical="center" wrapText="1"/>
    </xf>
    <xf numFmtId="164" fontId="36" fillId="0" borderId="2" xfId="0" applyNumberFormat="1" applyFont="1" applyBorder="1" applyAlignment="1">
      <alignment wrapText="1"/>
    </xf>
    <xf numFmtId="164" fontId="29" fillId="0" borderId="2" xfId="0" applyNumberFormat="1" applyFont="1" applyBorder="1" applyAlignment="1">
      <alignment vertical="center" wrapText="1"/>
    </xf>
    <xf numFmtId="0" fontId="30" fillId="0" borderId="2" xfId="0" applyFont="1" applyBorder="1" applyAlignment="1">
      <alignment horizontal="center" vertical="center" wrapText="1"/>
    </xf>
    <xf numFmtId="164" fontId="30" fillId="0" borderId="2" xfId="0" applyNumberFormat="1" applyFont="1" applyBorder="1" applyAlignment="1">
      <alignment horizontal="center" vertical="center" wrapText="1"/>
    </xf>
    <xf numFmtId="164" fontId="0" fillId="0" borderId="0" xfId="0" applyNumberFormat="1" applyAlignment="1">
      <alignment horizontal="center"/>
    </xf>
    <xf numFmtId="164" fontId="0" fillId="0" borderId="0" xfId="2" applyNumberFormat="1" applyFont="1"/>
    <xf numFmtId="0" fontId="37" fillId="0" borderId="0" xfId="0" applyFont="1" applyAlignment="1">
      <alignment horizontal="left" vertical="center" wrapText="1"/>
    </xf>
    <xf numFmtId="0" fontId="27" fillId="0" borderId="0" xfId="0" applyFont="1" applyAlignment="1">
      <alignment vertical="center"/>
    </xf>
    <xf numFmtId="0" fontId="28" fillId="0" borderId="0" xfId="0" applyFont="1" applyAlignment="1">
      <alignment vertical="center"/>
    </xf>
    <xf numFmtId="0" fontId="6" fillId="16" borderId="2" xfId="3" applyFont="1" applyFill="1" applyBorder="1" applyAlignment="1">
      <alignment horizontal="center" vertical="center"/>
    </xf>
    <xf numFmtId="164" fontId="5" fillId="0" borderId="0" xfId="0" applyNumberFormat="1" applyFont="1"/>
    <xf numFmtId="43" fontId="36" fillId="0" borderId="2" xfId="1" applyFont="1" applyBorder="1" applyAlignment="1">
      <alignment horizontal="center" vertical="center" wrapText="1"/>
    </xf>
    <xf numFmtId="164" fontId="18" fillId="12" borderId="2" xfId="0" applyNumberFormat="1" applyFont="1" applyFill="1" applyBorder="1" applyAlignment="1">
      <alignment horizontal="center" vertical="center" wrapText="1"/>
    </xf>
    <xf numFmtId="164" fontId="22" fillId="0" borderId="2" xfId="5" applyFont="1" applyBorder="1" applyAlignment="1">
      <alignment horizontal="right" vertical="center" wrapText="1"/>
    </xf>
    <xf numFmtId="164" fontId="19" fillId="15" borderId="2" xfId="5" applyFont="1" applyFill="1" applyBorder="1" applyAlignment="1">
      <alignment horizontal="right" vertical="center" wrapText="1"/>
    </xf>
    <xf numFmtId="164" fontId="23" fillId="0" borderId="2" xfId="5" applyFont="1" applyBorder="1" applyAlignment="1">
      <alignment horizontal="right" vertical="center" wrapText="1"/>
    </xf>
    <xf numFmtId="0" fontId="5" fillId="0" borderId="0" xfId="0" applyFont="1" applyAlignment="1">
      <alignment wrapText="1"/>
    </xf>
    <xf numFmtId="0" fontId="11" fillId="0" borderId="0" xfId="0" applyFont="1" applyAlignment="1">
      <alignment wrapText="1"/>
    </xf>
    <xf numFmtId="164" fontId="38" fillId="0" borderId="2" xfId="5" applyFont="1" applyBorder="1" applyAlignment="1">
      <alignment horizontal="center" vertical="center"/>
    </xf>
    <xf numFmtId="164" fontId="38" fillId="6" borderId="2" xfId="5" applyFont="1" applyFill="1" applyBorder="1" applyAlignment="1">
      <alignment horizontal="center" vertical="center"/>
    </xf>
    <xf numFmtId="164" fontId="38" fillId="8" borderId="2" xfId="5" applyFont="1" applyFill="1" applyBorder="1" applyAlignment="1">
      <alignment horizontal="center" vertical="center"/>
    </xf>
    <xf numFmtId="164" fontId="38" fillId="6" borderId="2" xfId="5" applyFont="1" applyFill="1" applyBorder="1" applyAlignment="1" applyProtection="1">
      <alignment horizontal="center" vertical="center" wrapText="1"/>
      <protection hidden="1"/>
    </xf>
    <xf numFmtId="164" fontId="40" fillId="0" borderId="2" xfId="5" applyFont="1" applyFill="1" applyBorder="1" applyAlignment="1">
      <alignment horizontal="center" vertical="center" wrapText="1"/>
    </xf>
    <xf numFmtId="164" fontId="42" fillId="0" borderId="2" xfId="5" applyFont="1" applyBorder="1" applyAlignment="1">
      <alignment horizontal="center" vertical="center"/>
    </xf>
    <xf numFmtId="0" fontId="42" fillId="0" borderId="2" xfId="3" applyFont="1" applyBorder="1" applyAlignment="1">
      <alignment horizontal="center" vertical="center" wrapText="1"/>
    </xf>
    <xf numFmtId="49" fontId="42" fillId="0" borderId="2" xfId="3" applyNumberFormat="1" applyFont="1" applyBorder="1" applyAlignment="1">
      <alignment horizontal="center" vertical="center" wrapText="1"/>
    </xf>
    <xf numFmtId="0" fontId="42" fillId="16" borderId="2" xfId="3" applyFont="1" applyFill="1" applyBorder="1" applyAlignment="1">
      <alignment horizontal="center" vertical="center"/>
    </xf>
    <xf numFmtId="164" fontId="45" fillId="0" borderId="2" xfId="5" applyFont="1" applyBorder="1" applyAlignment="1">
      <alignment horizontal="center" vertical="center"/>
    </xf>
    <xf numFmtId="164" fontId="42" fillId="6" borderId="2" xfId="5" applyFont="1" applyFill="1" applyBorder="1" applyAlignment="1">
      <alignment horizontal="center" vertical="center"/>
    </xf>
    <xf numFmtId="164" fontId="42" fillId="8" borderId="2" xfId="5" applyFont="1" applyFill="1" applyBorder="1" applyAlignment="1">
      <alignment horizontal="center" vertical="center"/>
    </xf>
    <xf numFmtId="164" fontId="47" fillId="0" borderId="2" xfId="5" applyFont="1" applyFill="1" applyBorder="1" applyAlignment="1">
      <alignment horizontal="center" vertical="center" wrapText="1"/>
    </xf>
    <xf numFmtId="43" fontId="0" fillId="0" borderId="2" xfId="1" applyFont="1" applyBorder="1"/>
    <xf numFmtId="43" fontId="19" fillId="15" borderId="2" xfId="1" applyFont="1" applyFill="1" applyBorder="1" applyAlignment="1">
      <alignment horizontal="right" vertical="center" wrapText="1"/>
    </xf>
    <xf numFmtId="43" fontId="23" fillId="0" borderId="2" xfId="1" applyFont="1" applyBorder="1" applyAlignment="1">
      <alignment horizontal="right" vertical="center" wrapText="1"/>
    </xf>
    <xf numFmtId="0" fontId="39" fillId="0" borderId="0" xfId="0" applyFont="1" applyFill="1" applyAlignment="1">
      <alignment wrapText="1"/>
    </xf>
    <xf numFmtId="0" fontId="6" fillId="0" borderId="0" xfId="4" applyFont="1"/>
    <xf numFmtId="0" fontId="6" fillId="0" borderId="0" xfId="3" applyFont="1" applyAlignment="1">
      <alignment vertical="center"/>
    </xf>
    <xf numFmtId="0" fontId="6" fillId="0" borderId="0" xfId="4" applyFont="1" applyAlignment="1">
      <alignment horizontal="center" vertical="center"/>
    </xf>
    <xf numFmtId="0" fontId="5" fillId="0" borderId="2" xfId="0" applyFont="1" applyBorder="1" applyAlignment="1">
      <alignment horizontal="center" vertical="center" wrapText="1"/>
    </xf>
    <xf numFmtId="164" fontId="6" fillId="7" borderId="2" xfId="3" applyNumberFormat="1" applyFont="1" applyFill="1" applyBorder="1" applyAlignment="1">
      <alignment horizontal="center" vertical="center" wrapText="1"/>
    </xf>
    <xf numFmtId="164" fontId="46" fillId="0" borderId="2" xfId="5" applyFont="1" applyBorder="1" applyAlignment="1">
      <alignment horizontal="center" vertical="center"/>
    </xf>
    <xf numFmtId="164" fontId="6" fillId="8" borderId="2" xfId="5" applyFont="1" applyFill="1" applyBorder="1" applyAlignment="1">
      <alignment horizontal="center" vertical="center" wrapText="1"/>
    </xf>
    <xf numFmtId="164" fontId="38" fillId="8" borderId="2" xfId="5" applyFont="1" applyFill="1" applyBorder="1" applyAlignment="1">
      <alignment horizontal="center" vertical="center" wrapText="1"/>
    </xf>
    <xf numFmtId="9" fontId="6" fillId="8" borderId="2" xfId="2" applyFont="1" applyFill="1" applyBorder="1" applyAlignment="1">
      <alignment horizontal="center" vertical="center" wrapText="1"/>
    </xf>
    <xf numFmtId="164" fontId="12" fillId="0" borderId="2" xfId="5" applyFont="1" applyBorder="1" applyAlignment="1">
      <alignment horizontal="center" vertical="center" wrapText="1"/>
    </xf>
    <xf numFmtId="164" fontId="42" fillId="0" borderId="2" xfId="5" applyFont="1" applyBorder="1" applyAlignment="1">
      <alignment horizontal="center" vertical="center" wrapText="1"/>
    </xf>
    <xf numFmtId="164" fontId="38" fillId="0" borderId="2" xfId="5" applyFont="1" applyBorder="1" applyAlignment="1">
      <alignment horizontal="center" vertical="center" wrapText="1"/>
    </xf>
    <xf numFmtId="49" fontId="13" fillId="0" borderId="2" xfId="3" applyNumberFormat="1" applyFont="1" applyBorder="1" applyAlignment="1">
      <alignment horizontal="center" vertical="center"/>
    </xf>
    <xf numFmtId="49" fontId="13" fillId="0" borderId="2" xfId="3" applyNumberFormat="1" applyFont="1" applyBorder="1" applyAlignment="1">
      <alignment horizontal="center" vertical="center" wrapText="1"/>
    </xf>
    <xf numFmtId="0" fontId="5" fillId="0" borderId="2" xfId="0" applyFont="1" applyBorder="1" applyAlignment="1">
      <alignment horizontal="center" vertical="center"/>
    </xf>
    <xf numFmtId="164" fontId="4" fillId="6" borderId="2" xfId="5" applyFont="1" applyFill="1" applyBorder="1" applyAlignment="1">
      <alignment horizontal="center" vertical="center" wrapText="1"/>
    </xf>
    <xf numFmtId="164" fontId="42" fillId="6" borderId="2" xfId="5" applyFont="1" applyFill="1" applyBorder="1" applyAlignment="1">
      <alignment horizontal="center" vertical="center" wrapText="1"/>
    </xf>
    <xf numFmtId="164" fontId="38" fillId="6" borderId="2" xfId="5" applyFont="1" applyFill="1" applyBorder="1" applyAlignment="1">
      <alignment horizontal="center" vertical="center" wrapText="1"/>
    </xf>
    <xf numFmtId="0" fontId="4" fillId="0" borderId="2" xfId="3" applyFont="1" applyBorder="1" applyAlignment="1">
      <alignment horizontal="center" vertical="center"/>
    </xf>
    <xf numFmtId="0" fontId="6" fillId="2" borderId="2" xfId="3" applyFont="1" applyFill="1" applyBorder="1" applyAlignment="1">
      <alignment horizontal="center" vertical="center" wrapText="1"/>
    </xf>
    <xf numFmtId="0" fontId="6" fillId="10" borderId="2" xfId="3" applyFont="1" applyFill="1" applyBorder="1" applyAlignment="1">
      <alignment horizontal="center" vertical="center" wrapText="1"/>
    </xf>
    <xf numFmtId="164" fontId="5" fillId="0" borderId="2" xfId="5" applyFont="1" applyFill="1" applyBorder="1" applyAlignment="1">
      <alignment horizontal="center" vertical="center"/>
    </xf>
    <xf numFmtId="164" fontId="38" fillId="0" borderId="2" xfId="5" applyFont="1" applyFill="1" applyBorder="1" applyAlignment="1">
      <alignment horizontal="center" vertical="center"/>
    </xf>
    <xf numFmtId="0" fontId="48" fillId="0" borderId="2" xfId="3" applyFont="1" applyBorder="1" applyAlignment="1">
      <alignment horizontal="center" vertical="center" wrapText="1"/>
    </xf>
    <xf numFmtId="9" fontId="4" fillId="0" borderId="2" xfId="2" applyFont="1" applyBorder="1" applyAlignment="1">
      <alignment horizontal="center" vertical="center"/>
    </xf>
    <xf numFmtId="164" fontId="4" fillId="0" borderId="2" xfId="5" applyFont="1" applyBorder="1" applyAlignment="1">
      <alignment horizontal="center" vertical="center"/>
    </xf>
    <xf numFmtId="49" fontId="6" fillId="0" borderId="2" xfId="3" applyNumberFormat="1" applyFont="1" applyBorder="1" applyAlignment="1">
      <alignment horizontal="center" vertical="center"/>
    </xf>
    <xf numFmtId="164" fontId="12" fillId="0" borderId="2" xfId="5" applyFont="1" applyBorder="1" applyAlignment="1">
      <alignment horizontal="center" vertical="center"/>
    </xf>
    <xf numFmtId="49" fontId="6" fillId="0" borderId="2" xfId="3" applyNumberFormat="1" applyFont="1" applyBorder="1" applyAlignment="1">
      <alignment horizontal="center" vertical="center" wrapText="1"/>
    </xf>
    <xf numFmtId="164" fontId="42" fillId="2" borderId="2" xfId="5" applyFont="1" applyFill="1" applyBorder="1" applyAlignment="1">
      <alignment horizontal="center" vertical="center"/>
    </xf>
    <xf numFmtId="164" fontId="49" fillId="0" borderId="2" xfId="5" applyFont="1" applyBorder="1" applyAlignment="1">
      <alignment horizontal="center" vertical="center"/>
    </xf>
    <xf numFmtId="164" fontId="49" fillId="0" borderId="2" xfId="5" applyFont="1" applyBorder="1" applyAlignment="1">
      <alignment horizontal="center" vertical="center" wrapText="1"/>
    </xf>
    <xf numFmtId="0" fontId="39" fillId="17" borderId="1" xfId="0" applyFont="1" applyFill="1" applyBorder="1" applyAlignment="1">
      <alignment horizontal="center" vertical="center" wrapText="1"/>
    </xf>
    <xf numFmtId="0" fontId="40" fillId="17" borderId="1" xfId="0" applyFont="1" applyFill="1" applyBorder="1" applyAlignment="1">
      <alignment horizontal="center" vertical="center" wrapText="1"/>
    </xf>
    <xf numFmtId="0" fontId="39" fillId="17" borderId="5" xfId="0" applyFont="1" applyFill="1" applyBorder="1" applyAlignment="1">
      <alignment horizontal="center" vertical="center" wrapText="1"/>
    </xf>
    <xf numFmtId="0" fontId="39" fillId="17" borderId="4" xfId="0" applyFont="1" applyFill="1" applyBorder="1" applyAlignment="1">
      <alignment horizontal="center" vertical="center" wrapText="1"/>
    </xf>
    <xf numFmtId="0" fontId="41" fillId="17" borderId="7" xfId="0" applyFont="1" applyFill="1" applyBorder="1" applyAlignment="1">
      <alignment horizontal="center" vertical="center" wrapText="1"/>
    </xf>
    <xf numFmtId="0" fontId="4" fillId="4" borderId="2" xfId="3" applyFont="1" applyFill="1" applyBorder="1" applyAlignment="1">
      <alignment horizontal="center" vertical="center" wrapText="1"/>
    </xf>
    <xf numFmtId="49" fontId="4" fillId="6" borderId="2" xfId="0" applyNumberFormat="1" applyFont="1" applyFill="1" applyBorder="1" applyAlignment="1">
      <alignment horizontal="center" vertical="center"/>
    </xf>
    <xf numFmtId="49" fontId="4" fillId="6" borderId="2" xfId="0" applyNumberFormat="1" applyFont="1" applyFill="1" applyBorder="1" applyAlignment="1">
      <alignment horizontal="center" vertical="center" wrapText="1"/>
    </xf>
    <xf numFmtId="164" fontId="43" fillId="0" borderId="2" xfId="5" applyFont="1" applyBorder="1" applyAlignment="1">
      <alignment horizontal="center" vertical="center"/>
    </xf>
    <xf numFmtId="164" fontId="4" fillId="7" borderId="2" xfId="5" applyFont="1" applyFill="1" applyBorder="1" applyAlignment="1">
      <alignment horizontal="center" vertical="center"/>
    </xf>
    <xf numFmtId="164" fontId="43" fillId="7" borderId="2" xfId="5" applyFont="1" applyFill="1" applyBorder="1" applyAlignment="1">
      <alignment horizontal="center" vertical="center"/>
    </xf>
    <xf numFmtId="164" fontId="38" fillId="7" borderId="2" xfId="5" applyFont="1" applyFill="1" applyBorder="1" applyAlignment="1">
      <alignment horizontal="center" vertical="center"/>
    </xf>
    <xf numFmtId="164" fontId="42" fillId="8" borderId="2" xfId="5" applyFont="1" applyFill="1" applyBorder="1" applyAlignment="1">
      <alignment horizontal="center" vertical="center" wrapText="1"/>
    </xf>
    <xf numFmtId="164" fontId="6" fillId="2" borderId="2" xfId="3" applyNumberFormat="1" applyFont="1" applyFill="1" applyBorder="1" applyAlignment="1">
      <alignment horizontal="center" vertical="center"/>
    </xf>
    <xf numFmtId="164" fontId="42" fillId="2" borderId="2" xfId="3" applyNumberFormat="1" applyFont="1" applyFill="1" applyBorder="1" applyAlignment="1">
      <alignment horizontal="center" vertical="center"/>
    </xf>
    <xf numFmtId="164" fontId="38" fillId="2" borderId="2" xfId="3" applyNumberFormat="1" applyFont="1" applyFill="1" applyBorder="1" applyAlignment="1">
      <alignment horizontal="center" vertical="center"/>
    </xf>
    <xf numFmtId="9" fontId="6" fillId="2" borderId="2" xfId="2" applyFont="1" applyFill="1" applyBorder="1" applyAlignment="1">
      <alignment horizontal="center" vertical="center"/>
    </xf>
    <xf numFmtId="164" fontId="42" fillId="9" borderId="2" xfId="5" applyFont="1" applyFill="1" applyBorder="1" applyAlignment="1">
      <alignment horizontal="center" vertical="center" wrapText="1"/>
    </xf>
    <xf numFmtId="43" fontId="38" fillId="9" borderId="2" xfId="1" applyFont="1" applyFill="1" applyBorder="1" applyAlignment="1">
      <alignment horizontal="center" vertical="center" wrapText="1"/>
    </xf>
    <xf numFmtId="9" fontId="6" fillId="9" borderId="2" xfId="2" applyFont="1" applyFill="1" applyBorder="1" applyAlignment="1">
      <alignment horizontal="center" vertical="center" wrapText="1"/>
    </xf>
    <xf numFmtId="0" fontId="6" fillId="9" borderId="2" xfId="3" applyFont="1" applyFill="1" applyBorder="1" applyAlignment="1">
      <alignment horizontal="center" vertical="center" wrapText="1"/>
    </xf>
    <xf numFmtId="164" fontId="6" fillId="10" borderId="2" xfId="5" applyFont="1" applyFill="1" applyBorder="1" applyAlignment="1">
      <alignment horizontal="center" vertical="center" wrapText="1"/>
    </xf>
    <xf numFmtId="164" fontId="42" fillId="10" borderId="2" xfId="5" applyFont="1" applyFill="1" applyBorder="1" applyAlignment="1">
      <alignment horizontal="center" vertical="center" wrapText="1"/>
    </xf>
    <xf numFmtId="164" fontId="38" fillId="10" borderId="2" xfId="5" applyFont="1" applyFill="1" applyBorder="1" applyAlignment="1">
      <alignment horizontal="center" vertical="center" wrapText="1"/>
    </xf>
    <xf numFmtId="9" fontId="6" fillId="10" borderId="2" xfId="2" applyFont="1" applyFill="1" applyBorder="1" applyAlignment="1">
      <alignment horizontal="center" vertical="center" wrapText="1"/>
    </xf>
    <xf numFmtId="0" fontId="9" fillId="0" borderId="2" xfId="0" applyFont="1" applyBorder="1" applyAlignment="1">
      <alignment horizontal="center" vertical="center"/>
    </xf>
    <xf numFmtId="16" fontId="14" fillId="0" borderId="2" xfId="3" applyNumberFormat="1" applyFont="1" applyBorder="1" applyAlignment="1">
      <alignment horizontal="center" vertical="center" wrapText="1"/>
    </xf>
    <xf numFmtId="0" fontId="4" fillId="0" borderId="2" xfId="6" applyFont="1" applyBorder="1" applyAlignment="1" applyProtection="1">
      <alignment horizontal="center" vertical="center" wrapText="1"/>
      <protection hidden="1"/>
    </xf>
    <xf numFmtId="164" fontId="12" fillId="0" borderId="2" xfId="5" applyFont="1" applyFill="1" applyBorder="1" applyAlignment="1">
      <alignment horizontal="center" vertical="center" wrapText="1"/>
    </xf>
    <xf numFmtId="164" fontId="42" fillId="0" borderId="2" xfId="5" applyFont="1" applyFill="1" applyBorder="1" applyAlignment="1">
      <alignment horizontal="center" vertical="center" wrapText="1"/>
    </xf>
    <xf numFmtId="164" fontId="38" fillId="0" borderId="2" xfId="5" applyFont="1" applyFill="1" applyBorder="1" applyAlignment="1">
      <alignment horizontal="center" vertical="center" wrapText="1"/>
    </xf>
    <xf numFmtId="164" fontId="4" fillId="0" borderId="2" xfId="5" applyFont="1" applyBorder="1" applyAlignment="1">
      <alignment horizontal="center" vertical="center" wrapText="1"/>
    </xf>
    <xf numFmtId="0" fontId="6" fillId="8" borderId="2" xfId="3" applyFont="1" applyFill="1" applyBorder="1" applyAlignment="1">
      <alignment horizontal="center" vertical="center" wrapText="1"/>
    </xf>
    <xf numFmtId="164" fontId="6" fillId="2" borderId="2" xfId="5" applyFont="1" applyFill="1" applyBorder="1" applyAlignment="1">
      <alignment horizontal="center" vertical="center" wrapText="1"/>
    </xf>
    <xf numFmtId="164" fontId="42" fillId="2" borderId="2" xfId="5" applyFont="1" applyFill="1" applyBorder="1" applyAlignment="1">
      <alignment horizontal="center" vertical="center" wrapText="1"/>
    </xf>
    <xf numFmtId="164" fontId="38" fillId="2" borderId="2" xfId="5" applyFont="1" applyFill="1" applyBorder="1" applyAlignment="1">
      <alignment horizontal="center" vertical="center" wrapText="1"/>
    </xf>
    <xf numFmtId="9" fontId="6" fillId="2" borderId="2" xfId="2" applyFont="1" applyFill="1" applyBorder="1" applyAlignment="1">
      <alignment horizontal="center" vertical="center" wrapText="1"/>
    </xf>
    <xf numFmtId="164" fontId="38" fillId="9" borderId="2" xfId="5" applyFont="1" applyFill="1" applyBorder="1" applyAlignment="1">
      <alignment horizontal="center" vertical="center" wrapText="1"/>
    </xf>
    <xf numFmtId="164" fontId="6" fillId="11" borderId="2" xfId="5" applyFont="1" applyFill="1" applyBorder="1" applyAlignment="1">
      <alignment horizontal="center" vertical="center" wrapText="1"/>
    </xf>
    <xf numFmtId="164" fontId="42" fillId="11" borderId="2" xfId="5" applyFont="1" applyFill="1" applyBorder="1" applyAlignment="1">
      <alignment horizontal="center" vertical="center" wrapText="1"/>
    </xf>
    <xf numFmtId="164" fontId="38" fillId="11" borderId="2" xfId="5" applyFont="1" applyFill="1" applyBorder="1" applyAlignment="1">
      <alignment horizontal="center" vertical="center" wrapText="1"/>
    </xf>
    <xf numFmtId="9" fontId="6" fillId="11" borderId="2" xfId="2" applyFont="1" applyFill="1" applyBorder="1" applyAlignment="1">
      <alignment horizontal="center" vertical="center" wrapText="1"/>
    </xf>
    <xf numFmtId="165" fontId="6" fillId="10" borderId="2" xfId="5" applyNumberFormat="1" applyFont="1" applyFill="1" applyBorder="1" applyAlignment="1">
      <alignment horizontal="center" vertical="center"/>
    </xf>
    <xf numFmtId="165" fontId="42" fillId="10" borderId="2" xfId="5" applyNumberFormat="1" applyFont="1" applyFill="1" applyBorder="1" applyAlignment="1">
      <alignment horizontal="center" vertical="center"/>
    </xf>
    <xf numFmtId="165" fontId="38" fillId="10" borderId="2" xfId="5" applyNumberFormat="1" applyFont="1" applyFill="1" applyBorder="1" applyAlignment="1">
      <alignment horizontal="center" vertical="center"/>
    </xf>
    <xf numFmtId="9" fontId="6" fillId="10" borderId="2" xfId="2" applyFont="1" applyFill="1" applyBorder="1" applyAlignment="1">
      <alignment horizontal="center" vertical="center"/>
    </xf>
    <xf numFmtId="0" fontId="6" fillId="10" borderId="2" xfId="3" applyFont="1" applyFill="1" applyBorder="1" applyAlignment="1">
      <alignment horizontal="center" vertical="center"/>
    </xf>
    <xf numFmtId="164" fontId="15" fillId="0" borderId="2" xfId="5" applyFont="1" applyBorder="1" applyAlignment="1">
      <alignment vertical="center" wrapText="1"/>
    </xf>
    <xf numFmtId="0" fontId="18" fillId="12" borderId="8" xfId="0" applyFont="1" applyFill="1" applyBorder="1" applyAlignment="1">
      <alignment horizontal="center" vertical="center" wrapText="1"/>
    </xf>
    <xf numFmtId="0" fontId="18" fillId="12" borderId="9" xfId="0" applyFont="1" applyFill="1" applyBorder="1" applyAlignment="1">
      <alignment horizontal="center" vertical="center" wrapText="1"/>
    </xf>
    <xf numFmtId="164" fontId="18" fillId="12" borderId="10" xfId="0" applyNumberFormat="1" applyFont="1" applyFill="1" applyBorder="1" applyAlignment="1">
      <alignment horizontal="center" vertical="center" wrapText="1"/>
    </xf>
    <xf numFmtId="164" fontId="19" fillId="15" borderId="10" xfId="5" applyFont="1" applyFill="1" applyBorder="1" applyAlignment="1">
      <alignment horizontal="right" vertical="center" wrapText="1"/>
    </xf>
    <xf numFmtId="164" fontId="23" fillId="0" borderId="10" xfId="5" applyFont="1" applyBorder="1" applyAlignment="1">
      <alignment horizontal="right" vertical="center" wrapText="1"/>
    </xf>
    <xf numFmtId="164" fontId="19" fillId="14" borderId="6" xfId="0" applyNumberFormat="1" applyFont="1" applyFill="1" applyBorder="1" applyAlignment="1">
      <alignment horizontal="right" vertical="center" wrapText="1"/>
    </xf>
    <xf numFmtId="43" fontId="19" fillId="14" borderId="6" xfId="1" applyFont="1" applyFill="1" applyBorder="1" applyAlignment="1">
      <alignment horizontal="right" vertical="center" wrapText="1"/>
    </xf>
    <xf numFmtId="164" fontId="19" fillId="14" borderId="11" xfId="0" applyNumberFormat="1" applyFont="1" applyFill="1" applyBorder="1" applyAlignment="1">
      <alignment horizontal="right" vertical="center" wrapText="1"/>
    </xf>
    <xf numFmtId="0" fontId="18" fillId="13" borderId="2" xfId="0" applyFont="1" applyFill="1" applyBorder="1" applyAlignment="1">
      <alignment horizontal="center" vertical="center" wrapText="1"/>
    </xf>
    <xf numFmtId="165" fontId="18" fillId="13" borderId="2" xfId="5" applyNumberFormat="1" applyFont="1" applyFill="1" applyBorder="1" applyAlignment="1">
      <alignment horizontal="center" vertical="center" wrapText="1"/>
    </xf>
    <xf numFmtId="165" fontId="19" fillId="13" borderId="2" xfId="5" applyNumberFormat="1" applyFont="1" applyFill="1" applyBorder="1" applyAlignment="1">
      <alignment horizontal="center" vertical="center" wrapText="1"/>
    </xf>
    <xf numFmtId="164" fontId="20" fillId="13" borderId="2" xfId="5" applyFont="1" applyFill="1" applyBorder="1" applyAlignment="1">
      <alignment horizontal="center" vertical="center" wrapText="1"/>
    </xf>
    <xf numFmtId="164" fontId="19" fillId="13" borderId="2" xfId="5" applyFont="1" applyFill="1" applyBorder="1" applyAlignment="1">
      <alignment horizontal="center" vertical="center" wrapText="1"/>
    </xf>
    <xf numFmtId="0" fontId="22" fillId="0" borderId="2" xfId="0" applyFont="1" applyBorder="1" applyAlignment="1">
      <alignment horizontal="right" vertical="center" wrapText="1"/>
    </xf>
    <xf numFmtId="164" fontId="24" fillId="0" borderId="2" xfId="5" applyFont="1" applyBorder="1" applyAlignment="1">
      <alignment horizontal="right" vertical="center" wrapText="1"/>
    </xf>
    <xf numFmtId="0" fontId="22" fillId="0" borderId="2" xfId="0" applyFont="1" applyBorder="1" applyAlignment="1">
      <alignment horizontal="center" vertical="center" wrapText="1"/>
    </xf>
    <xf numFmtId="164" fontId="22" fillId="4" borderId="2" xfId="5" applyFont="1" applyFill="1" applyBorder="1" applyAlignment="1">
      <alignment horizontal="right" vertical="center" wrapText="1"/>
    </xf>
    <xf numFmtId="0" fontId="18" fillId="14" borderId="2" xfId="0" applyFont="1" applyFill="1" applyBorder="1" applyAlignment="1">
      <alignment horizontal="right" vertical="center" wrapText="1"/>
    </xf>
    <xf numFmtId="164" fontId="18" fillId="14" borderId="2" xfId="5" applyFont="1" applyFill="1" applyBorder="1" applyAlignment="1">
      <alignment horizontal="right" vertical="center" wrapText="1"/>
    </xf>
    <xf numFmtId="164" fontId="19" fillId="14" borderId="2" xfId="5" applyFont="1" applyFill="1" applyBorder="1" applyAlignment="1">
      <alignment horizontal="right" vertical="center" wrapText="1"/>
    </xf>
    <xf numFmtId="164" fontId="20" fillId="15" borderId="2" xfId="5" applyFont="1" applyFill="1" applyBorder="1" applyAlignment="1">
      <alignment horizontal="right" vertical="center" wrapText="1"/>
    </xf>
    <xf numFmtId="164" fontId="20" fillId="16" borderId="2" xfId="5" applyFont="1" applyFill="1" applyBorder="1" applyAlignment="1">
      <alignment horizontal="right" vertical="center" wrapText="1"/>
    </xf>
    <xf numFmtId="164" fontId="20" fillId="0" borderId="2" xfId="5" applyFont="1" applyBorder="1" applyAlignment="1">
      <alignment horizontal="right" vertical="center" wrapText="1"/>
    </xf>
    <xf numFmtId="0" fontId="18" fillId="12" borderId="12"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18" fillId="12" borderId="13" xfId="0" applyFont="1" applyFill="1" applyBorder="1" applyAlignment="1">
      <alignment horizontal="center" vertical="center" wrapText="1"/>
    </xf>
    <xf numFmtId="0" fontId="21" fillId="0" borderId="13" xfId="0" applyFont="1" applyBorder="1" applyAlignment="1">
      <alignment vertical="center" wrapText="1"/>
    </xf>
    <xf numFmtId="0" fontId="25" fillId="14" borderId="13" xfId="0" applyFont="1" applyFill="1" applyBorder="1" applyAlignment="1">
      <alignment vertical="center" wrapText="1"/>
    </xf>
    <xf numFmtId="164" fontId="21" fillId="0" borderId="13" xfId="5" applyFont="1" applyBorder="1" applyAlignment="1">
      <alignment vertical="center" wrapText="1"/>
    </xf>
    <xf numFmtId="0" fontId="25" fillId="14" borderId="14" xfId="0" applyFont="1" applyFill="1" applyBorder="1" applyAlignment="1">
      <alignment vertical="center" wrapText="1"/>
    </xf>
    <xf numFmtId="0" fontId="18" fillId="14" borderId="6" xfId="0" applyFont="1" applyFill="1" applyBorder="1" applyAlignment="1">
      <alignment horizontal="right" vertical="center" wrapText="1"/>
    </xf>
    <xf numFmtId="164" fontId="18" fillId="14" borderId="6" xfId="0" applyNumberFormat="1" applyFont="1" applyFill="1" applyBorder="1" applyAlignment="1">
      <alignment horizontal="right" vertical="center" wrapText="1"/>
    </xf>
    <xf numFmtId="164" fontId="20" fillId="14" borderId="6" xfId="0" applyNumberFormat="1" applyFont="1" applyFill="1" applyBorder="1" applyAlignment="1">
      <alignment horizontal="right" vertical="center" wrapText="1"/>
    </xf>
    <xf numFmtId="164" fontId="20" fillId="16" borderId="6" xfId="5" applyFont="1" applyFill="1" applyBorder="1" applyAlignment="1">
      <alignment horizontal="right" vertical="center" wrapText="1"/>
    </xf>
    <xf numFmtId="0" fontId="6" fillId="11" borderId="2" xfId="3" applyFont="1" applyFill="1" applyBorder="1" applyAlignment="1">
      <alignment horizontal="center" vertical="center" wrapText="1"/>
    </xf>
    <xf numFmtId="0" fontId="6" fillId="10" borderId="2" xfId="3" applyFont="1" applyFill="1" applyBorder="1" applyAlignment="1">
      <alignment horizontal="center" vertical="center"/>
    </xf>
    <xf numFmtId="0" fontId="9" fillId="0" borderId="2" xfId="3" applyFont="1" applyBorder="1" applyAlignment="1">
      <alignment horizontal="center" vertical="center" wrapText="1"/>
    </xf>
    <xf numFmtId="0" fontId="38" fillId="0" borderId="2" xfId="3" applyFont="1" applyBorder="1" applyAlignment="1">
      <alignment horizontal="center" vertical="center" wrapText="1"/>
    </xf>
    <xf numFmtId="0" fontId="6" fillId="2" borderId="2" xfId="3" applyFont="1" applyFill="1" applyBorder="1" applyAlignment="1">
      <alignment horizontal="center" vertical="center" wrapText="1"/>
    </xf>
    <xf numFmtId="0" fontId="6" fillId="8" borderId="2" xfId="3" applyFont="1" applyFill="1" applyBorder="1" applyAlignment="1">
      <alignment horizontal="center" vertical="center" wrapText="1"/>
    </xf>
    <xf numFmtId="164" fontId="15" fillId="0" borderId="2" xfId="5"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3" applyFont="1" applyBorder="1" applyAlignment="1">
      <alignment horizontal="center" vertical="center" wrapText="1"/>
    </xf>
    <xf numFmtId="0" fontId="4" fillId="6" borderId="2" xfId="3" applyFont="1" applyFill="1" applyBorder="1" applyAlignment="1">
      <alignment horizontal="center" vertical="center" wrapText="1"/>
    </xf>
    <xf numFmtId="0" fontId="6" fillId="0" borderId="2" xfId="3" applyFont="1" applyBorder="1" applyAlignment="1">
      <alignment horizontal="center" vertical="center" wrapText="1"/>
    </xf>
    <xf numFmtId="49" fontId="6" fillId="0" borderId="2" xfId="3" applyNumberFormat="1" applyFont="1" applyBorder="1" applyAlignment="1">
      <alignment horizontal="center" vertical="center" wrapText="1"/>
    </xf>
    <xf numFmtId="0" fontId="6" fillId="10" borderId="2" xfId="3" applyFont="1" applyFill="1" applyBorder="1" applyAlignment="1">
      <alignment horizontal="center" vertical="center" wrapText="1"/>
    </xf>
    <xf numFmtId="0" fontId="6" fillId="9" borderId="2" xfId="3" applyFont="1" applyFill="1" applyBorder="1" applyAlignment="1">
      <alignment horizontal="center" vertical="center" wrapText="1"/>
    </xf>
    <xf numFmtId="0" fontId="42" fillId="0" borderId="2" xfId="3" applyFont="1" applyBorder="1" applyAlignment="1">
      <alignment horizontal="center" vertical="center" wrapText="1"/>
    </xf>
    <xf numFmtId="0" fontId="6" fillId="5" borderId="2" xfId="3" applyFont="1" applyFill="1" applyBorder="1" applyAlignment="1">
      <alignment horizontal="center" vertical="center" wrapText="1"/>
    </xf>
    <xf numFmtId="0" fontId="42" fillId="0" borderId="2" xfId="0" applyFont="1" applyBorder="1" applyAlignment="1">
      <alignment horizontal="center" vertical="center"/>
    </xf>
    <xf numFmtId="0" fontId="39" fillId="17" borderId="1" xfId="0" applyFont="1" applyFill="1" applyBorder="1" applyAlignment="1">
      <alignment horizontal="center" vertical="center" wrapText="1"/>
    </xf>
    <xf numFmtId="49" fontId="4" fillId="0" borderId="2" xfId="3" applyNumberFormat="1" applyFont="1" applyBorder="1" applyAlignment="1">
      <alignment horizontal="center" vertical="center"/>
    </xf>
    <xf numFmtId="164" fontId="12" fillId="0" borderId="2" xfId="5" applyFont="1" applyBorder="1" applyAlignment="1">
      <alignment horizontal="center" vertical="center"/>
    </xf>
    <xf numFmtId="0" fontId="42" fillId="3" borderId="2" xfId="3" applyFont="1" applyFill="1" applyBorder="1" applyAlignment="1">
      <alignment horizontal="center" vertical="center" wrapText="1"/>
    </xf>
    <xf numFmtId="9" fontId="4" fillId="0" borderId="2" xfId="2" applyFont="1" applyBorder="1" applyAlignment="1">
      <alignment horizontal="center" vertical="center"/>
    </xf>
    <xf numFmtId="164" fontId="4" fillId="0" borderId="2" xfId="5" applyFont="1" applyBorder="1" applyAlignment="1">
      <alignment horizontal="center" vertical="center"/>
    </xf>
    <xf numFmtId="49" fontId="6" fillId="0" borderId="2" xfId="3" applyNumberFormat="1" applyFont="1" applyBorder="1" applyAlignment="1">
      <alignment horizontal="center" vertical="center"/>
    </xf>
    <xf numFmtId="0" fontId="4" fillId="0" borderId="2" xfId="6" applyFont="1" applyBorder="1" applyAlignment="1" applyProtection="1">
      <alignment horizontal="center" vertical="center" wrapText="1"/>
      <protection hidden="1"/>
    </xf>
    <xf numFmtId="16" fontId="4" fillId="0" borderId="2" xfId="3" applyNumberFormat="1" applyFont="1" applyBorder="1" applyAlignment="1">
      <alignment horizontal="center" vertical="center" wrapText="1"/>
    </xf>
    <xf numFmtId="9" fontId="6" fillId="0" borderId="2" xfId="2" applyFont="1" applyBorder="1" applyAlignment="1">
      <alignment horizontal="center" vertical="center" wrapText="1"/>
    </xf>
    <xf numFmtId="16" fontId="48" fillId="0" borderId="2" xfId="3" applyNumberFormat="1" applyFont="1" applyBorder="1" applyAlignment="1">
      <alignment horizontal="center" vertical="center" wrapText="1"/>
    </xf>
    <xf numFmtId="16" fontId="6" fillId="5" borderId="2" xfId="3" applyNumberFormat="1" applyFont="1" applyFill="1" applyBorder="1" applyAlignment="1">
      <alignment horizontal="center" vertical="center" wrapText="1"/>
    </xf>
    <xf numFmtId="0" fontId="30" fillId="0" borderId="2" xfId="0" applyFont="1" applyBorder="1" applyAlignment="1">
      <alignment vertical="center"/>
    </xf>
    <xf numFmtId="0" fontId="36" fillId="0" borderId="2" xfId="0" applyFont="1" applyBorder="1" applyAlignment="1">
      <alignment vertical="center" wrapText="1"/>
    </xf>
  </cellXfs>
  <cellStyles count="7">
    <cellStyle name="Milliers" xfId="1" builtinId="3"/>
    <cellStyle name="Milliers 4" xfId="5" xr:uid="{01F3E674-DBC2-4B39-998C-D71D6DC88277}"/>
    <cellStyle name="Normal" xfId="0" builtinId="0"/>
    <cellStyle name="Normal 3" xfId="4" xr:uid="{25F2C18F-438C-4E75-9BDC-3FB3503735CF}"/>
    <cellStyle name="Normal 4" xfId="3" xr:uid="{EF1D9C69-9474-4D76-AAAB-550A3689270A}"/>
    <cellStyle name="Normal 5 2" xfId="6" xr:uid="{12997500-BF67-46CD-983A-7FB6F5C9AC27}"/>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BUDGET%202019/PTA%202019%20PACOP/Copie%20de%20RAPPORT%20FINANCIER%20PROJET%20PBF%2013%20JUIN%20VERSION%2014%20JUIN%20%202019%20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PROJET%20PBF%202020/BUDGET%20%20PROJE%20PBF%202020/Rapport%20Fin.%20%20PROJET%20PBF%20%2031%20d&#233;cembre2019%20AU%2015%20FEV%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PROJET%20PBF%202020/BUDGET%20%20PROJE%20PBF%202020/Rapport%20Financier%20Porjet%20PBF%20et%20Eng%20au%2013%20NOV%20%202020%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1/PROJET%20PBF%202021/RAPPORT%20FINANCIER%2030%20AVRIL%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ransfert/JOB/PNUD/RBM/Documents/Sous%20Projet/PRF/Coordination/FNAL%2028112018/FINAL/Annex_Budget_ST_2019_FK_281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0/PROJET%20PBF%202020/BUDGET%20%20PROJE%20PBF%202020/Budget_ST_2021_02%20122020%20S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euil2"/>
      <sheetName val="Feuil3"/>
      <sheetName val="SHEET2"/>
      <sheetName val="cumul Activity2015-2018 "/>
      <sheetName val="engagement 31 decembre 2018"/>
      <sheetName val="PTA 2018"/>
      <sheetName val="recap"/>
      <sheetName val="situation FONDS ETAT"/>
      <sheetName val="Feuil1"/>
      <sheetName val="TER "/>
      <sheetName val="Budgétisation initial &amp; révisée"/>
    </sheetNames>
    <sheetDataSet>
      <sheetData sheetId="0"/>
      <sheetData sheetId="1"/>
      <sheetData sheetId="2"/>
      <sheetData sheetId="3"/>
      <sheetData sheetId="4">
        <row r="7">
          <cell r="N7">
            <v>120000</v>
          </cell>
          <cell r="T7">
            <v>80000</v>
          </cell>
        </row>
        <row r="8">
          <cell r="N8">
            <v>406983</v>
          </cell>
          <cell r="T8">
            <v>302221</v>
          </cell>
        </row>
        <row r="9">
          <cell r="N9">
            <v>133200</v>
          </cell>
          <cell r="T9">
            <v>0</v>
          </cell>
        </row>
        <row r="13">
          <cell r="N13">
            <v>172800</v>
          </cell>
          <cell r="T13">
            <v>60069</v>
          </cell>
        </row>
        <row r="14">
          <cell r="N14">
            <v>100000</v>
          </cell>
          <cell r="T14"/>
        </row>
        <row r="15">
          <cell r="N15">
            <v>0</v>
          </cell>
          <cell r="T15"/>
        </row>
        <row r="16">
          <cell r="N16">
            <v>50000</v>
          </cell>
          <cell r="T16">
            <v>10000</v>
          </cell>
        </row>
        <row r="17">
          <cell r="N17">
            <v>30018</v>
          </cell>
          <cell r="T17">
            <v>0</v>
          </cell>
        </row>
        <row r="18">
          <cell r="N18">
            <v>45000</v>
          </cell>
          <cell r="T18"/>
        </row>
        <row r="20">
          <cell r="N20">
            <v>39000</v>
          </cell>
          <cell r="T20">
            <v>10000</v>
          </cell>
        </row>
        <row r="21">
          <cell r="N21">
            <v>53000</v>
          </cell>
          <cell r="T21">
            <v>5000</v>
          </cell>
        </row>
        <row r="23">
          <cell r="T23">
            <v>32710</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19"/>
      <sheetName val="SHEET1"/>
      <sheetName val="CUMUL ACTIVITY 2015 2019"/>
      <sheetName val="BUD 2019"/>
      <sheetName val="engagement au 31 DECEMBRE 2019"/>
      <sheetName val="Sheet2"/>
      <sheetName val="PTA RAPPORT 31 DEC 2019"/>
      <sheetName val="base"/>
      <sheetName val="Sheet3"/>
    </sheetNames>
    <sheetDataSet>
      <sheetData sheetId="0">
        <row r="18">
          <cell r="C18">
            <v>7000</v>
          </cell>
        </row>
      </sheetData>
      <sheetData sheetId="1"/>
      <sheetData sheetId="2">
        <row r="7">
          <cell r="U7">
            <v>203204.97</v>
          </cell>
        </row>
        <row r="8">
          <cell r="U8">
            <v>877457.32</v>
          </cell>
        </row>
        <row r="9">
          <cell r="U9">
            <v>181582.63</v>
          </cell>
        </row>
        <row r="10">
          <cell r="U10">
            <v>84490.742899999997</v>
          </cell>
        </row>
      </sheetData>
      <sheetData sheetId="3">
        <row r="22">
          <cell r="C22">
            <v>305000</v>
          </cell>
        </row>
        <row r="28">
          <cell r="C28">
            <v>47613</v>
          </cell>
        </row>
        <row r="34">
          <cell r="C34">
            <v>60069</v>
          </cell>
        </row>
        <row r="40">
          <cell r="C40">
            <v>106482.97</v>
          </cell>
        </row>
        <row r="43">
          <cell r="C43">
            <v>0</v>
          </cell>
        </row>
        <row r="48">
          <cell r="C48">
            <v>4500</v>
          </cell>
        </row>
        <row r="51">
          <cell r="C51">
            <v>0</v>
          </cell>
        </row>
        <row r="54">
          <cell r="C54">
            <v>0</v>
          </cell>
        </row>
        <row r="59">
          <cell r="C59">
            <v>10500</v>
          </cell>
        </row>
        <row r="64">
          <cell r="C64">
            <v>1354</v>
          </cell>
        </row>
        <row r="69">
          <cell r="C69">
            <v>18262.689999999999</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Annexe 1  2019"/>
      <sheetName val="Annexe3"/>
      <sheetName val="Annexe2 2019"/>
      <sheetName val="Annexe4"/>
      <sheetName val="Annexe5"/>
      <sheetName val="Annexe6PTA2020"/>
      <sheetName val="PTA RAPPORT 31 AOUT"/>
      <sheetName val="Sheet3"/>
    </sheetNames>
    <sheetDataSet>
      <sheetData sheetId="0"/>
      <sheetData sheetId="1"/>
      <sheetData sheetId="2"/>
      <sheetData sheetId="3">
        <row r="7">
          <cell r="U7">
            <v>32802</v>
          </cell>
        </row>
        <row r="8">
          <cell r="U8">
            <v>136851</v>
          </cell>
        </row>
        <row r="9">
          <cell r="U9">
            <v>27240</v>
          </cell>
        </row>
        <row r="10">
          <cell r="U10">
            <v>13498</v>
          </cell>
        </row>
        <row r="13">
          <cell r="X13">
            <v>378216.73</v>
          </cell>
        </row>
        <row r="14">
          <cell r="X14">
            <v>175817</v>
          </cell>
        </row>
        <row r="15">
          <cell r="X15">
            <v>0</v>
          </cell>
        </row>
        <row r="16">
          <cell r="X16">
            <v>65797.350000000006</v>
          </cell>
        </row>
        <row r="17">
          <cell r="X17">
            <v>8103.13</v>
          </cell>
        </row>
        <row r="18">
          <cell r="X18">
            <v>25636.27</v>
          </cell>
        </row>
        <row r="19">
          <cell r="X19">
            <v>11004</v>
          </cell>
        </row>
        <row r="20">
          <cell r="X20">
            <v>82790.399999999994</v>
          </cell>
        </row>
        <row r="21">
          <cell r="X21">
            <v>40025.1</v>
          </cell>
        </row>
        <row r="22">
          <cell r="X22">
            <v>13548.78</v>
          </cell>
        </row>
        <row r="23">
          <cell r="X23">
            <v>45409.653900000005</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DE 2020 "/>
      <sheetName val="PTA 1ERE TRANCHE"/>
      <sheetName val="SHEET 1"/>
      <sheetName val="SHHET 2 BIS"/>
      <sheetName val="SHEET 2"/>
      <sheetName val="SHEET 1 2021"/>
      <sheetName val="PTA 2021 GLOBAL"/>
      <sheetName val="Feuil1"/>
      <sheetName val="Feuil3"/>
    </sheetNames>
    <sheetDataSet>
      <sheetData sheetId="0"/>
      <sheetData sheetId="1"/>
      <sheetData sheetId="2">
        <row r="20">
          <cell r="D20">
            <v>142500</v>
          </cell>
        </row>
        <row r="26">
          <cell r="D26">
            <v>61612.66</v>
          </cell>
        </row>
        <row r="34">
          <cell r="D34">
            <v>60069</v>
          </cell>
        </row>
        <row r="45">
          <cell r="D45">
            <v>40000</v>
          </cell>
        </row>
        <row r="54">
          <cell r="D54">
            <v>23042.716200000006</v>
          </cell>
        </row>
      </sheetData>
      <sheetData sheetId="3">
        <row r="6">
          <cell r="K6">
            <v>371265.56</v>
          </cell>
          <cell r="L6">
            <v>159113.82</v>
          </cell>
          <cell r="N6">
            <v>246557.0612</v>
          </cell>
        </row>
        <row r="7">
          <cell r="K7">
            <v>300977.15999999997</v>
          </cell>
          <cell r="L7">
            <v>91704.5</v>
          </cell>
          <cell r="N7">
            <v>190427.16000000003</v>
          </cell>
        </row>
        <row r="8">
          <cell r="K8">
            <v>5000</v>
          </cell>
          <cell r="L8">
            <v>5000</v>
          </cell>
        </row>
        <row r="10">
          <cell r="K10">
            <v>26000</v>
          </cell>
          <cell r="L10">
            <v>29000</v>
          </cell>
        </row>
        <row r="11">
          <cell r="K11">
            <v>5000</v>
          </cell>
          <cell r="L11">
            <v>5000</v>
          </cell>
        </row>
        <row r="13">
          <cell r="K13">
            <v>10000</v>
          </cell>
          <cell r="L13">
            <v>18000</v>
          </cell>
        </row>
      </sheetData>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Feuil1"/>
    </sheetNames>
    <sheetDataSet>
      <sheetData sheetId="0" refreshError="1">
        <row r="12">
          <cell r="C12">
            <v>35000</v>
          </cell>
        </row>
        <row r="13">
          <cell r="C13"/>
        </row>
        <row r="14">
          <cell r="C14"/>
        </row>
        <row r="16">
          <cell r="C16"/>
        </row>
        <row r="17">
          <cell r="C17">
            <v>15000</v>
          </cell>
        </row>
        <row r="21">
          <cell r="C21">
            <v>285000</v>
          </cell>
        </row>
        <row r="24">
          <cell r="C24">
            <v>20000</v>
          </cell>
        </row>
        <row r="26">
          <cell r="C26">
            <v>47612.66</v>
          </cell>
        </row>
        <row r="33">
          <cell r="C33">
            <v>60069</v>
          </cell>
        </row>
        <row r="36">
          <cell r="C36">
            <v>50000</v>
          </cell>
        </row>
        <row r="37">
          <cell r="C37">
            <v>6900</v>
          </cell>
        </row>
        <row r="40">
          <cell r="C40">
            <v>6950</v>
          </cell>
        </row>
        <row r="41">
          <cell r="C41">
            <v>4250</v>
          </cell>
        </row>
        <row r="45">
          <cell r="C45">
            <v>30000</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TA2021"/>
      <sheetName val="1 ère tranche"/>
    </sheetNames>
    <sheetDataSet>
      <sheetData sheetId="0">
        <row r="27">
          <cell r="D27">
            <v>204112.66</v>
          </cell>
        </row>
        <row r="33">
          <cell r="D33">
            <v>60069</v>
          </cell>
        </row>
      </sheetData>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A9141-E91D-4EDA-8247-94ED8D620503}">
  <dimension ref="A1:ADJ88"/>
  <sheetViews>
    <sheetView topLeftCell="D77" workbookViewId="0">
      <selection activeCell="H84" sqref="H84"/>
    </sheetView>
  </sheetViews>
  <sheetFormatPr baseColWidth="10" defaultRowHeight="14.25" x14ac:dyDescent="0.45"/>
  <cols>
    <col min="1" max="1" width="18.19921875" style="2" customWidth="1"/>
    <col min="2" max="2" width="25.1328125" style="2" customWidth="1"/>
    <col min="3" max="3" width="25.19921875" style="2" customWidth="1"/>
    <col min="4" max="4" width="31.53125" style="2" customWidth="1"/>
    <col min="5" max="6" width="16.53125" style="2" customWidth="1"/>
    <col min="7" max="7" width="15.6640625" style="2" customWidth="1"/>
    <col min="8" max="8" width="14.33203125" style="2" customWidth="1"/>
    <col min="9" max="9" width="7.6640625" style="2" customWidth="1"/>
    <col min="10" max="10" width="13.46484375" style="2" customWidth="1"/>
    <col min="11" max="11" width="6.33203125" style="2" customWidth="1"/>
    <col min="12" max="12" width="6.796875" style="2" customWidth="1"/>
    <col min="13" max="13" width="7.6640625" style="2" customWidth="1"/>
    <col min="14" max="14" width="34.46484375" style="2" customWidth="1"/>
    <col min="15" max="248" width="11.53125" style="2"/>
    <col min="249" max="249" width="10.86328125" style="2" customWidth="1"/>
    <col min="250" max="250" width="48.1328125" style="2" customWidth="1"/>
    <col min="251" max="251" width="38.53125" style="2" customWidth="1"/>
    <col min="252" max="252" width="30.86328125" style="2" customWidth="1"/>
    <col min="253" max="253" width="16.86328125" style="2" customWidth="1"/>
    <col min="254" max="255" width="4.1328125" style="2" customWidth="1"/>
    <col min="256" max="256" width="3.796875" style="2" customWidth="1"/>
    <col min="257" max="257" width="4.46484375" style="2" customWidth="1"/>
    <col min="258" max="258" width="22.19921875" style="2" customWidth="1"/>
    <col min="259" max="259" width="6.53125" style="2" customWidth="1"/>
    <col min="260" max="260" width="6.86328125" style="2" customWidth="1"/>
    <col min="261" max="261" width="8.86328125" style="2" customWidth="1"/>
    <col min="262" max="262" width="14.46484375" style="2" customWidth="1"/>
    <col min="263" max="263" width="11.53125" style="2"/>
    <col min="264" max="264" width="11.796875" style="2" bestFit="1" customWidth="1"/>
    <col min="265" max="504" width="11.53125" style="2"/>
    <col min="505" max="505" width="10.86328125" style="2" customWidth="1"/>
    <col min="506" max="506" width="48.1328125" style="2" customWidth="1"/>
    <col min="507" max="507" width="38.53125" style="2" customWidth="1"/>
    <col min="508" max="508" width="30.86328125" style="2" customWidth="1"/>
    <col min="509" max="509" width="16.86328125" style="2" customWidth="1"/>
    <col min="510" max="511" width="4.1328125" style="2" customWidth="1"/>
    <col min="512" max="512" width="3.796875" style="2" customWidth="1"/>
    <col min="513" max="513" width="4.46484375" style="2" customWidth="1"/>
    <col min="514" max="514" width="22.19921875" style="2" customWidth="1"/>
    <col min="515" max="515" width="6.53125" style="2" customWidth="1"/>
    <col min="516" max="516" width="6.86328125" style="2" customWidth="1"/>
    <col min="517" max="517" width="8.86328125" style="2" customWidth="1"/>
    <col min="518" max="518" width="14.46484375" style="2" customWidth="1"/>
    <col min="519" max="519" width="11.53125" style="2"/>
    <col min="520" max="520" width="11.796875" style="2" bestFit="1" customWidth="1"/>
    <col min="521" max="760" width="11.53125" style="2"/>
    <col min="761" max="761" width="10.86328125" style="2" customWidth="1"/>
    <col min="762" max="762" width="48.1328125" style="2" customWidth="1"/>
    <col min="763" max="763" width="38.53125" style="2" customWidth="1"/>
    <col min="764" max="764" width="30.86328125" style="2" customWidth="1"/>
    <col min="765" max="765" width="16.86328125" style="2" customWidth="1"/>
    <col min="766" max="767" width="4.1328125" style="2" customWidth="1"/>
    <col min="768" max="768" width="3.796875" style="2" customWidth="1"/>
    <col min="769" max="769" width="4.46484375" style="2" customWidth="1"/>
    <col min="770" max="770" width="22.19921875" style="2" customWidth="1"/>
    <col min="771" max="771" width="6.53125" style="2" customWidth="1"/>
    <col min="772" max="772" width="6.86328125" style="2" customWidth="1"/>
    <col min="773" max="773" width="8.86328125" style="2" customWidth="1"/>
    <col min="774" max="774" width="14.46484375" style="2" customWidth="1"/>
    <col min="775" max="775" width="11.53125" style="2"/>
    <col min="776" max="776" width="11.796875" style="2" bestFit="1" customWidth="1"/>
    <col min="777" max="1016" width="11.53125" style="2"/>
    <col min="1017" max="1017" width="10.86328125" style="2" customWidth="1"/>
    <col min="1018" max="1018" width="48.1328125" style="2" customWidth="1"/>
    <col min="1019" max="1019" width="38.53125" style="2" customWidth="1"/>
    <col min="1020" max="1020" width="30.86328125" style="2" customWidth="1"/>
    <col min="1021" max="1021" width="16.86328125" style="2" customWidth="1"/>
    <col min="1022" max="1023" width="4.1328125" style="2" customWidth="1"/>
    <col min="1024" max="1024" width="3.796875" style="2" customWidth="1"/>
    <col min="1025" max="1025" width="4.46484375" style="2" customWidth="1"/>
    <col min="1026" max="1026" width="22.19921875" style="2" customWidth="1"/>
    <col min="1027" max="1027" width="6.53125" style="2" customWidth="1"/>
    <col min="1028" max="1028" width="6.86328125" style="2" customWidth="1"/>
    <col min="1029" max="1029" width="8.86328125" style="2" customWidth="1"/>
    <col min="1030" max="1030" width="14.46484375" style="2" customWidth="1"/>
    <col min="1031" max="1031" width="11.53125" style="2"/>
    <col min="1032" max="1032" width="11.796875" style="2" bestFit="1" customWidth="1"/>
    <col min="1033" max="1272" width="11.53125" style="2"/>
    <col min="1273" max="1273" width="10.86328125" style="2" customWidth="1"/>
    <col min="1274" max="1274" width="48.1328125" style="2" customWidth="1"/>
    <col min="1275" max="1275" width="38.53125" style="2" customWidth="1"/>
    <col min="1276" max="1276" width="30.86328125" style="2" customWidth="1"/>
    <col min="1277" max="1277" width="16.86328125" style="2" customWidth="1"/>
    <col min="1278" max="1279" width="4.1328125" style="2" customWidth="1"/>
    <col min="1280" max="1280" width="3.796875" style="2" customWidth="1"/>
    <col min="1281" max="1281" width="4.46484375" style="2" customWidth="1"/>
    <col min="1282" max="1282" width="22.19921875" style="2" customWidth="1"/>
    <col min="1283" max="1283" width="6.53125" style="2" customWidth="1"/>
    <col min="1284" max="1284" width="6.86328125" style="2" customWidth="1"/>
    <col min="1285" max="1285" width="8.86328125" style="2" customWidth="1"/>
    <col min="1286" max="1286" width="14.46484375" style="2" customWidth="1"/>
    <col min="1287" max="1287" width="11.53125" style="2"/>
    <col min="1288" max="1288" width="11.796875" style="2" bestFit="1" customWidth="1"/>
    <col min="1289" max="1528" width="11.53125" style="2"/>
    <col min="1529" max="1529" width="10.86328125" style="2" customWidth="1"/>
    <col min="1530" max="1530" width="48.1328125" style="2" customWidth="1"/>
    <col min="1531" max="1531" width="38.53125" style="2" customWidth="1"/>
    <col min="1532" max="1532" width="30.86328125" style="2" customWidth="1"/>
    <col min="1533" max="1533" width="16.86328125" style="2" customWidth="1"/>
    <col min="1534" max="1535" width="4.1328125" style="2" customWidth="1"/>
    <col min="1536" max="1536" width="3.796875" style="2" customWidth="1"/>
    <col min="1537" max="1537" width="4.46484375" style="2" customWidth="1"/>
    <col min="1538" max="1538" width="22.19921875" style="2" customWidth="1"/>
    <col min="1539" max="1539" width="6.53125" style="2" customWidth="1"/>
    <col min="1540" max="1540" width="6.86328125" style="2" customWidth="1"/>
    <col min="1541" max="1541" width="8.86328125" style="2" customWidth="1"/>
    <col min="1542" max="1542" width="14.46484375" style="2" customWidth="1"/>
    <col min="1543" max="1543" width="11.53125" style="2"/>
    <col min="1544" max="1544" width="11.796875" style="2" bestFit="1" customWidth="1"/>
    <col min="1545" max="1784" width="11.53125" style="2"/>
    <col min="1785" max="1785" width="10.86328125" style="2" customWidth="1"/>
    <col min="1786" max="1786" width="48.1328125" style="2" customWidth="1"/>
    <col min="1787" max="1787" width="38.53125" style="2" customWidth="1"/>
    <col min="1788" max="1788" width="30.86328125" style="2" customWidth="1"/>
    <col min="1789" max="1789" width="16.86328125" style="2" customWidth="1"/>
    <col min="1790" max="1791" width="4.1328125" style="2" customWidth="1"/>
    <col min="1792" max="1792" width="3.796875" style="2" customWidth="1"/>
    <col min="1793" max="1793" width="4.46484375" style="2" customWidth="1"/>
    <col min="1794" max="1794" width="22.19921875" style="2" customWidth="1"/>
    <col min="1795" max="1795" width="6.53125" style="2" customWidth="1"/>
    <col min="1796" max="1796" width="6.86328125" style="2" customWidth="1"/>
    <col min="1797" max="1797" width="8.86328125" style="2" customWidth="1"/>
    <col min="1798" max="1798" width="14.46484375" style="2" customWidth="1"/>
    <col min="1799" max="1799" width="11.53125" style="2"/>
    <col min="1800" max="1800" width="11.796875" style="2" bestFit="1" customWidth="1"/>
    <col min="1801" max="2040" width="11.53125" style="2"/>
    <col min="2041" max="2041" width="10.86328125" style="2" customWidth="1"/>
    <col min="2042" max="2042" width="48.1328125" style="2" customWidth="1"/>
    <col min="2043" max="2043" width="38.53125" style="2" customWidth="1"/>
    <col min="2044" max="2044" width="30.86328125" style="2" customWidth="1"/>
    <col min="2045" max="2045" width="16.86328125" style="2" customWidth="1"/>
    <col min="2046" max="2047" width="4.1328125" style="2" customWidth="1"/>
    <col min="2048" max="2048" width="3.796875" style="2" customWidth="1"/>
    <col min="2049" max="2049" width="4.46484375" style="2" customWidth="1"/>
    <col min="2050" max="2050" width="22.19921875" style="2" customWidth="1"/>
    <col min="2051" max="2051" width="6.53125" style="2" customWidth="1"/>
    <col min="2052" max="2052" width="6.86328125" style="2" customWidth="1"/>
    <col min="2053" max="2053" width="8.86328125" style="2" customWidth="1"/>
    <col min="2054" max="2054" width="14.46484375" style="2" customWidth="1"/>
    <col min="2055" max="2055" width="11.53125" style="2"/>
    <col min="2056" max="2056" width="11.796875" style="2" bestFit="1" customWidth="1"/>
    <col min="2057" max="2296" width="11.53125" style="2"/>
    <col min="2297" max="2297" width="10.86328125" style="2" customWidth="1"/>
    <col min="2298" max="2298" width="48.1328125" style="2" customWidth="1"/>
    <col min="2299" max="2299" width="38.53125" style="2" customWidth="1"/>
    <col min="2300" max="2300" width="30.86328125" style="2" customWidth="1"/>
    <col min="2301" max="2301" width="16.86328125" style="2" customWidth="1"/>
    <col min="2302" max="2303" width="4.1328125" style="2" customWidth="1"/>
    <col min="2304" max="2304" width="3.796875" style="2" customWidth="1"/>
    <col min="2305" max="2305" width="4.46484375" style="2" customWidth="1"/>
    <col min="2306" max="2306" width="22.19921875" style="2" customWidth="1"/>
    <col min="2307" max="2307" width="6.53125" style="2" customWidth="1"/>
    <col min="2308" max="2308" width="6.86328125" style="2" customWidth="1"/>
    <col min="2309" max="2309" width="8.86328125" style="2" customWidth="1"/>
    <col min="2310" max="2310" width="14.46484375" style="2" customWidth="1"/>
    <col min="2311" max="2311" width="11.53125" style="2"/>
    <col min="2312" max="2312" width="11.796875" style="2" bestFit="1" customWidth="1"/>
    <col min="2313" max="2552" width="11.53125" style="2"/>
    <col min="2553" max="2553" width="10.86328125" style="2" customWidth="1"/>
    <col min="2554" max="2554" width="48.1328125" style="2" customWidth="1"/>
    <col min="2555" max="2555" width="38.53125" style="2" customWidth="1"/>
    <col min="2556" max="2556" width="30.86328125" style="2" customWidth="1"/>
    <col min="2557" max="2557" width="16.86328125" style="2" customWidth="1"/>
    <col min="2558" max="2559" width="4.1328125" style="2" customWidth="1"/>
    <col min="2560" max="2560" width="3.796875" style="2" customWidth="1"/>
    <col min="2561" max="2561" width="4.46484375" style="2" customWidth="1"/>
    <col min="2562" max="2562" width="22.19921875" style="2" customWidth="1"/>
    <col min="2563" max="2563" width="6.53125" style="2" customWidth="1"/>
    <col min="2564" max="2564" width="6.86328125" style="2" customWidth="1"/>
    <col min="2565" max="2565" width="8.86328125" style="2" customWidth="1"/>
    <col min="2566" max="2566" width="14.46484375" style="2" customWidth="1"/>
    <col min="2567" max="2567" width="11.53125" style="2"/>
    <col min="2568" max="2568" width="11.796875" style="2" bestFit="1" customWidth="1"/>
    <col min="2569" max="2808" width="11.53125" style="2"/>
    <col min="2809" max="2809" width="10.86328125" style="2" customWidth="1"/>
    <col min="2810" max="2810" width="48.1328125" style="2" customWidth="1"/>
    <col min="2811" max="2811" width="38.53125" style="2" customWidth="1"/>
    <col min="2812" max="2812" width="30.86328125" style="2" customWidth="1"/>
    <col min="2813" max="2813" width="16.86328125" style="2" customWidth="1"/>
    <col min="2814" max="2815" width="4.1328125" style="2" customWidth="1"/>
    <col min="2816" max="2816" width="3.796875" style="2" customWidth="1"/>
    <col min="2817" max="2817" width="4.46484375" style="2" customWidth="1"/>
    <col min="2818" max="2818" width="22.19921875" style="2" customWidth="1"/>
    <col min="2819" max="2819" width="6.53125" style="2" customWidth="1"/>
    <col min="2820" max="2820" width="6.86328125" style="2" customWidth="1"/>
    <col min="2821" max="2821" width="8.86328125" style="2" customWidth="1"/>
    <col min="2822" max="2822" width="14.46484375" style="2" customWidth="1"/>
    <col min="2823" max="2823" width="11.53125" style="2"/>
    <col min="2824" max="2824" width="11.796875" style="2" bestFit="1" customWidth="1"/>
    <col min="2825" max="3064" width="11.53125" style="2"/>
    <col min="3065" max="3065" width="10.86328125" style="2" customWidth="1"/>
    <col min="3066" max="3066" width="48.1328125" style="2" customWidth="1"/>
    <col min="3067" max="3067" width="38.53125" style="2" customWidth="1"/>
    <col min="3068" max="3068" width="30.86328125" style="2" customWidth="1"/>
    <col min="3069" max="3069" width="16.86328125" style="2" customWidth="1"/>
    <col min="3070" max="3071" width="4.1328125" style="2" customWidth="1"/>
    <col min="3072" max="3072" width="3.796875" style="2" customWidth="1"/>
    <col min="3073" max="3073" width="4.46484375" style="2" customWidth="1"/>
    <col min="3074" max="3074" width="22.19921875" style="2" customWidth="1"/>
    <col min="3075" max="3075" width="6.53125" style="2" customWidth="1"/>
    <col min="3076" max="3076" width="6.86328125" style="2" customWidth="1"/>
    <col min="3077" max="3077" width="8.86328125" style="2" customWidth="1"/>
    <col min="3078" max="3078" width="14.46484375" style="2" customWidth="1"/>
    <col min="3079" max="3079" width="11.53125" style="2"/>
    <col min="3080" max="3080" width="11.796875" style="2" bestFit="1" customWidth="1"/>
    <col min="3081" max="3320" width="11.53125" style="2"/>
    <col min="3321" max="3321" width="10.86328125" style="2" customWidth="1"/>
    <col min="3322" max="3322" width="48.1328125" style="2" customWidth="1"/>
    <col min="3323" max="3323" width="38.53125" style="2" customWidth="1"/>
    <col min="3324" max="3324" width="30.86328125" style="2" customWidth="1"/>
    <col min="3325" max="3325" width="16.86328125" style="2" customWidth="1"/>
    <col min="3326" max="3327" width="4.1328125" style="2" customWidth="1"/>
    <col min="3328" max="3328" width="3.796875" style="2" customWidth="1"/>
    <col min="3329" max="3329" width="4.46484375" style="2" customWidth="1"/>
    <col min="3330" max="3330" width="22.19921875" style="2" customWidth="1"/>
    <col min="3331" max="3331" width="6.53125" style="2" customWidth="1"/>
    <col min="3332" max="3332" width="6.86328125" style="2" customWidth="1"/>
    <col min="3333" max="3333" width="8.86328125" style="2" customWidth="1"/>
    <col min="3334" max="3334" width="14.46484375" style="2" customWidth="1"/>
    <col min="3335" max="3335" width="11.53125" style="2"/>
    <col min="3336" max="3336" width="11.796875" style="2" bestFit="1" customWidth="1"/>
    <col min="3337" max="3576" width="11.53125" style="2"/>
    <col min="3577" max="3577" width="10.86328125" style="2" customWidth="1"/>
    <col min="3578" max="3578" width="48.1328125" style="2" customWidth="1"/>
    <col min="3579" max="3579" width="38.53125" style="2" customWidth="1"/>
    <col min="3580" max="3580" width="30.86328125" style="2" customWidth="1"/>
    <col min="3581" max="3581" width="16.86328125" style="2" customWidth="1"/>
    <col min="3582" max="3583" width="4.1328125" style="2" customWidth="1"/>
    <col min="3584" max="3584" width="3.796875" style="2" customWidth="1"/>
    <col min="3585" max="3585" width="4.46484375" style="2" customWidth="1"/>
    <col min="3586" max="3586" width="22.19921875" style="2" customWidth="1"/>
    <col min="3587" max="3587" width="6.53125" style="2" customWidth="1"/>
    <col min="3588" max="3588" width="6.86328125" style="2" customWidth="1"/>
    <col min="3589" max="3589" width="8.86328125" style="2" customWidth="1"/>
    <col min="3590" max="3590" width="14.46484375" style="2" customWidth="1"/>
    <col min="3591" max="3591" width="11.53125" style="2"/>
    <col min="3592" max="3592" width="11.796875" style="2" bestFit="1" customWidth="1"/>
    <col min="3593" max="3832" width="11.53125" style="2"/>
    <col min="3833" max="3833" width="10.86328125" style="2" customWidth="1"/>
    <col min="3834" max="3834" width="48.1328125" style="2" customWidth="1"/>
    <col min="3835" max="3835" width="38.53125" style="2" customWidth="1"/>
    <col min="3836" max="3836" width="30.86328125" style="2" customWidth="1"/>
    <col min="3837" max="3837" width="16.86328125" style="2" customWidth="1"/>
    <col min="3838" max="3839" width="4.1328125" style="2" customWidth="1"/>
    <col min="3840" max="3840" width="3.796875" style="2" customWidth="1"/>
    <col min="3841" max="3841" width="4.46484375" style="2" customWidth="1"/>
    <col min="3842" max="3842" width="22.19921875" style="2" customWidth="1"/>
    <col min="3843" max="3843" width="6.53125" style="2" customWidth="1"/>
    <col min="3844" max="3844" width="6.86328125" style="2" customWidth="1"/>
    <col min="3845" max="3845" width="8.86328125" style="2" customWidth="1"/>
    <col min="3846" max="3846" width="14.46484375" style="2" customWidth="1"/>
    <col min="3847" max="3847" width="11.53125" style="2"/>
    <col min="3848" max="3848" width="11.796875" style="2" bestFit="1" customWidth="1"/>
    <col min="3849" max="4088" width="11.53125" style="2"/>
    <col min="4089" max="4089" width="10.86328125" style="2" customWidth="1"/>
    <col min="4090" max="4090" width="48.1328125" style="2" customWidth="1"/>
    <col min="4091" max="4091" width="38.53125" style="2" customWidth="1"/>
    <col min="4092" max="4092" width="30.86328125" style="2" customWidth="1"/>
    <col min="4093" max="4093" width="16.86328125" style="2" customWidth="1"/>
    <col min="4094" max="4095" width="4.1328125" style="2" customWidth="1"/>
    <col min="4096" max="4096" width="3.796875" style="2" customWidth="1"/>
    <col min="4097" max="4097" width="4.46484375" style="2" customWidth="1"/>
    <col min="4098" max="4098" width="22.19921875" style="2" customWidth="1"/>
    <col min="4099" max="4099" width="6.53125" style="2" customWidth="1"/>
    <col min="4100" max="4100" width="6.86328125" style="2" customWidth="1"/>
    <col min="4101" max="4101" width="8.86328125" style="2" customWidth="1"/>
    <col min="4102" max="4102" width="14.46484375" style="2" customWidth="1"/>
    <col min="4103" max="4103" width="11.53125" style="2"/>
    <col min="4104" max="4104" width="11.796875" style="2" bestFit="1" customWidth="1"/>
    <col min="4105" max="4344" width="11.53125" style="2"/>
    <col min="4345" max="4345" width="10.86328125" style="2" customWidth="1"/>
    <col min="4346" max="4346" width="48.1328125" style="2" customWidth="1"/>
    <col min="4347" max="4347" width="38.53125" style="2" customWidth="1"/>
    <col min="4348" max="4348" width="30.86328125" style="2" customWidth="1"/>
    <col min="4349" max="4349" width="16.86328125" style="2" customWidth="1"/>
    <col min="4350" max="4351" width="4.1328125" style="2" customWidth="1"/>
    <col min="4352" max="4352" width="3.796875" style="2" customWidth="1"/>
    <col min="4353" max="4353" width="4.46484375" style="2" customWidth="1"/>
    <col min="4354" max="4354" width="22.19921875" style="2" customWidth="1"/>
    <col min="4355" max="4355" width="6.53125" style="2" customWidth="1"/>
    <col min="4356" max="4356" width="6.86328125" style="2" customWidth="1"/>
    <col min="4357" max="4357" width="8.86328125" style="2" customWidth="1"/>
    <col min="4358" max="4358" width="14.46484375" style="2" customWidth="1"/>
    <col min="4359" max="4359" width="11.53125" style="2"/>
    <col min="4360" max="4360" width="11.796875" style="2" bestFit="1" customWidth="1"/>
    <col min="4361" max="4600" width="11.53125" style="2"/>
    <col min="4601" max="4601" width="10.86328125" style="2" customWidth="1"/>
    <col min="4602" max="4602" width="48.1328125" style="2" customWidth="1"/>
    <col min="4603" max="4603" width="38.53125" style="2" customWidth="1"/>
    <col min="4604" max="4604" width="30.86328125" style="2" customWidth="1"/>
    <col min="4605" max="4605" width="16.86328125" style="2" customWidth="1"/>
    <col min="4606" max="4607" width="4.1328125" style="2" customWidth="1"/>
    <col min="4608" max="4608" width="3.796875" style="2" customWidth="1"/>
    <col min="4609" max="4609" width="4.46484375" style="2" customWidth="1"/>
    <col min="4610" max="4610" width="22.19921875" style="2" customWidth="1"/>
    <col min="4611" max="4611" width="6.53125" style="2" customWidth="1"/>
    <col min="4612" max="4612" width="6.86328125" style="2" customWidth="1"/>
    <col min="4613" max="4613" width="8.86328125" style="2" customWidth="1"/>
    <col min="4614" max="4614" width="14.46484375" style="2" customWidth="1"/>
    <col min="4615" max="4615" width="11.53125" style="2"/>
    <col min="4616" max="4616" width="11.796875" style="2" bestFit="1" customWidth="1"/>
    <col min="4617" max="4856" width="11.53125" style="2"/>
    <col min="4857" max="4857" width="10.86328125" style="2" customWidth="1"/>
    <col min="4858" max="4858" width="48.1328125" style="2" customWidth="1"/>
    <col min="4859" max="4859" width="38.53125" style="2" customWidth="1"/>
    <col min="4860" max="4860" width="30.86328125" style="2" customWidth="1"/>
    <col min="4861" max="4861" width="16.86328125" style="2" customWidth="1"/>
    <col min="4862" max="4863" width="4.1328125" style="2" customWidth="1"/>
    <col min="4864" max="4864" width="3.796875" style="2" customWidth="1"/>
    <col min="4865" max="4865" width="4.46484375" style="2" customWidth="1"/>
    <col min="4866" max="4866" width="22.19921875" style="2" customWidth="1"/>
    <col min="4867" max="4867" width="6.53125" style="2" customWidth="1"/>
    <col min="4868" max="4868" width="6.86328125" style="2" customWidth="1"/>
    <col min="4869" max="4869" width="8.86328125" style="2" customWidth="1"/>
    <col min="4870" max="4870" width="14.46484375" style="2" customWidth="1"/>
    <col min="4871" max="4871" width="11.53125" style="2"/>
    <col min="4872" max="4872" width="11.796875" style="2" bestFit="1" customWidth="1"/>
    <col min="4873" max="5112" width="11.53125" style="2"/>
    <col min="5113" max="5113" width="10.86328125" style="2" customWidth="1"/>
    <col min="5114" max="5114" width="48.1328125" style="2" customWidth="1"/>
    <col min="5115" max="5115" width="38.53125" style="2" customWidth="1"/>
    <col min="5116" max="5116" width="30.86328125" style="2" customWidth="1"/>
    <col min="5117" max="5117" width="16.86328125" style="2" customWidth="1"/>
    <col min="5118" max="5119" width="4.1328125" style="2" customWidth="1"/>
    <col min="5120" max="5120" width="3.796875" style="2" customWidth="1"/>
    <col min="5121" max="5121" width="4.46484375" style="2" customWidth="1"/>
    <col min="5122" max="5122" width="22.19921875" style="2" customWidth="1"/>
    <col min="5123" max="5123" width="6.53125" style="2" customWidth="1"/>
    <col min="5124" max="5124" width="6.86328125" style="2" customWidth="1"/>
    <col min="5125" max="5125" width="8.86328125" style="2" customWidth="1"/>
    <col min="5126" max="5126" width="14.46484375" style="2" customWidth="1"/>
    <col min="5127" max="5127" width="11.53125" style="2"/>
    <col min="5128" max="5128" width="11.796875" style="2" bestFit="1" customWidth="1"/>
    <col min="5129" max="5368" width="11.53125" style="2"/>
    <col min="5369" max="5369" width="10.86328125" style="2" customWidth="1"/>
    <col min="5370" max="5370" width="48.1328125" style="2" customWidth="1"/>
    <col min="5371" max="5371" width="38.53125" style="2" customWidth="1"/>
    <col min="5372" max="5372" width="30.86328125" style="2" customWidth="1"/>
    <col min="5373" max="5373" width="16.86328125" style="2" customWidth="1"/>
    <col min="5374" max="5375" width="4.1328125" style="2" customWidth="1"/>
    <col min="5376" max="5376" width="3.796875" style="2" customWidth="1"/>
    <col min="5377" max="5377" width="4.46484375" style="2" customWidth="1"/>
    <col min="5378" max="5378" width="22.19921875" style="2" customWidth="1"/>
    <col min="5379" max="5379" width="6.53125" style="2" customWidth="1"/>
    <col min="5380" max="5380" width="6.86328125" style="2" customWidth="1"/>
    <col min="5381" max="5381" width="8.86328125" style="2" customWidth="1"/>
    <col min="5382" max="5382" width="14.46484375" style="2" customWidth="1"/>
    <col min="5383" max="5383" width="11.53125" style="2"/>
    <col min="5384" max="5384" width="11.796875" style="2" bestFit="1" customWidth="1"/>
    <col min="5385" max="5624" width="11.53125" style="2"/>
    <col min="5625" max="5625" width="10.86328125" style="2" customWidth="1"/>
    <col min="5626" max="5626" width="48.1328125" style="2" customWidth="1"/>
    <col min="5627" max="5627" width="38.53125" style="2" customWidth="1"/>
    <col min="5628" max="5628" width="30.86328125" style="2" customWidth="1"/>
    <col min="5629" max="5629" width="16.86328125" style="2" customWidth="1"/>
    <col min="5630" max="5631" width="4.1328125" style="2" customWidth="1"/>
    <col min="5632" max="5632" width="3.796875" style="2" customWidth="1"/>
    <col min="5633" max="5633" width="4.46484375" style="2" customWidth="1"/>
    <col min="5634" max="5634" width="22.19921875" style="2" customWidth="1"/>
    <col min="5635" max="5635" width="6.53125" style="2" customWidth="1"/>
    <col min="5636" max="5636" width="6.86328125" style="2" customWidth="1"/>
    <col min="5637" max="5637" width="8.86328125" style="2" customWidth="1"/>
    <col min="5638" max="5638" width="14.46484375" style="2" customWidth="1"/>
    <col min="5639" max="5639" width="11.53125" style="2"/>
    <col min="5640" max="5640" width="11.796875" style="2" bestFit="1" customWidth="1"/>
    <col min="5641" max="5880" width="11.53125" style="2"/>
    <col min="5881" max="5881" width="10.86328125" style="2" customWidth="1"/>
    <col min="5882" max="5882" width="48.1328125" style="2" customWidth="1"/>
    <col min="5883" max="5883" width="38.53125" style="2" customWidth="1"/>
    <col min="5884" max="5884" width="30.86328125" style="2" customWidth="1"/>
    <col min="5885" max="5885" width="16.86328125" style="2" customWidth="1"/>
    <col min="5886" max="5887" width="4.1328125" style="2" customWidth="1"/>
    <col min="5888" max="5888" width="3.796875" style="2" customWidth="1"/>
    <col min="5889" max="5889" width="4.46484375" style="2" customWidth="1"/>
    <col min="5890" max="5890" width="22.19921875" style="2" customWidth="1"/>
    <col min="5891" max="5891" width="6.53125" style="2" customWidth="1"/>
    <col min="5892" max="5892" width="6.86328125" style="2" customWidth="1"/>
    <col min="5893" max="5893" width="8.86328125" style="2" customWidth="1"/>
    <col min="5894" max="5894" width="14.46484375" style="2" customWidth="1"/>
    <col min="5895" max="5895" width="11.53125" style="2"/>
    <col min="5896" max="5896" width="11.796875" style="2" bestFit="1" customWidth="1"/>
    <col min="5897" max="6136" width="11.53125" style="2"/>
    <col min="6137" max="6137" width="10.86328125" style="2" customWidth="1"/>
    <col min="6138" max="6138" width="48.1328125" style="2" customWidth="1"/>
    <col min="6139" max="6139" width="38.53125" style="2" customWidth="1"/>
    <col min="6140" max="6140" width="30.86328125" style="2" customWidth="1"/>
    <col min="6141" max="6141" width="16.86328125" style="2" customWidth="1"/>
    <col min="6142" max="6143" width="4.1328125" style="2" customWidth="1"/>
    <col min="6144" max="6144" width="3.796875" style="2" customWidth="1"/>
    <col min="6145" max="6145" width="4.46484375" style="2" customWidth="1"/>
    <col min="6146" max="6146" width="22.19921875" style="2" customWidth="1"/>
    <col min="6147" max="6147" width="6.53125" style="2" customWidth="1"/>
    <col min="6148" max="6148" width="6.86328125" style="2" customWidth="1"/>
    <col min="6149" max="6149" width="8.86328125" style="2" customWidth="1"/>
    <col min="6150" max="6150" width="14.46484375" style="2" customWidth="1"/>
    <col min="6151" max="6151" width="11.53125" style="2"/>
    <col min="6152" max="6152" width="11.796875" style="2" bestFit="1" customWidth="1"/>
    <col min="6153" max="6392" width="11.53125" style="2"/>
    <col min="6393" max="6393" width="10.86328125" style="2" customWidth="1"/>
    <col min="6394" max="6394" width="48.1328125" style="2" customWidth="1"/>
    <col min="6395" max="6395" width="38.53125" style="2" customWidth="1"/>
    <col min="6396" max="6396" width="30.86328125" style="2" customWidth="1"/>
    <col min="6397" max="6397" width="16.86328125" style="2" customWidth="1"/>
    <col min="6398" max="6399" width="4.1328125" style="2" customWidth="1"/>
    <col min="6400" max="6400" width="3.796875" style="2" customWidth="1"/>
    <col min="6401" max="6401" width="4.46484375" style="2" customWidth="1"/>
    <col min="6402" max="6402" width="22.19921875" style="2" customWidth="1"/>
    <col min="6403" max="6403" width="6.53125" style="2" customWidth="1"/>
    <col min="6404" max="6404" width="6.86328125" style="2" customWidth="1"/>
    <col min="6405" max="6405" width="8.86328125" style="2" customWidth="1"/>
    <col min="6406" max="6406" width="14.46484375" style="2" customWidth="1"/>
    <col min="6407" max="6407" width="11.53125" style="2"/>
    <col min="6408" max="6408" width="11.796875" style="2" bestFit="1" customWidth="1"/>
    <col min="6409" max="6648" width="11.53125" style="2"/>
    <col min="6649" max="6649" width="10.86328125" style="2" customWidth="1"/>
    <col min="6650" max="6650" width="48.1328125" style="2" customWidth="1"/>
    <col min="6651" max="6651" width="38.53125" style="2" customWidth="1"/>
    <col min="6652" max="6652" width="30.86328125" style="2" customWidth="1"/>
    <col min="6653" max="6653" width="16.86328125" style="2" customWidth="1"/>
    <col min="6654" max="6655" width="4.1328125" style="2" customWidth="1"/>
    <col min="6656" max="6656" width="3.796875" style="2" customWidth="1"/>
    <col min="6657" max="6657" width="4.46484375" style="2" customWidth="1"/>
    <col min="6658" max="6658" width="22.19921875" style="2" customWidth="1"/>
    <col min="6659" max="6659" width="6.53125" style="2" customWidth="1"/>
    <col min="6660" max="6660" width="6.86328125" style="2" customWidth="1"/>
    <col min="6661" max="6661" width="8.86328125" style="2" customWidth="1"/>
    <col min="6662" max="6662" width="14.46484375" style="2" customWidth="1"/>
    <col min="6663" max="6663" width="11.53125" style="2"/>
    <col min="6664" max="6664" width="11.796875" style="2" bestFit="1" customWidth="1"/>
    <col min="6665" max="6904" width="11.53125" style="2"/>
    <col min="6905" max="6905" width="10.86328125" style="2" customWidth="1"/>
    <col min="6906" max="6906" width="48.1328125" style="2" customWidth="1"/>
    <col min="6907" max="6907" width="38.53125" style="2" customWidth="1"/>
    <col min="6908" max="6908" width="30.86328125" style="2" customWidth="1"/>
    <col min="6909" max="6909" width="16.86328125" style="2" customWidth="1"/>
    <col min="6910" max="6911" width="4.1328125" style="2" customWidth="1"/>
    <col min="6912" max="6912" width="3.796875" style="2" customWidth="1"/>
    <col min="6913" max="6913" width="4.46484375" style="2" customWidth="1"/>
    <col min="6914" max="6914" width="22.19921875" style="2" customWidth="1"/>
    <col min="6915" max="6915" width="6.53125" style="2" customWidth="1"/>
    <col min="6916" max="6916" width="6.86328125" style="2" customWidth="1"/>
    <col min="6917" max="6917" width="8.86328125" style="2" customWidth="1"/>
    <col min="6918" max="6918" width="14.46484375" style="2" customWidth="1"/>
    <col min="6919" max="6919" width="11.53125" style="2"/>
    <col min="6920" max="6920" width="11.796875" style="2" bestFit="1" customWidth="1"/>
    <col min="6921" max="7160" width="11.53125" style="2"/>
    <col min="7161" max="7161" width="10.86328125" style="2" customWidth="1"/>
    <col min="7162" max="7162" width="48.1328125" style="2" customWidth="1"/>
    <col min="7163" max="7163" width="38.53125" style="2" customWidth="1"/>
    <col min="7164" max="7164" width="30.86328125" style="2" customWidth="1"/>
    <col min="7165" max="7165" width="16.86328125" style="2" customWidth="1"/>
    <col min="7166" max="7167" width="4.1328125" style="2" customWidth="1"/>
    <col min="7168" max="7168" width="3.796875" style="2" customWidth="1"/>
    <col min="7169" max="7169" width="4.46484375" style="2" customWidth="1"/>
    <col min="7170" max="7170" width="22.19921875" style="2" customWidth="1"/>
    <col min="7171" max="7171" width="6.53125" style="2" customWidth="1"/>
    <col min="7172" max="7172" width="6.86328125" style="2" customWidth="1"/>
    <col min="7173" max="7173" width="8.86328125" style="2" customWidth="1"/>
    <col min="7174" max="7174" width="14.46484375" style="2" customWidth="1"/>
    <col min="7175" max="7175" width="11.53125" style="2"/>
    <col min="7176" max="7176" width="11.796875" style="2" bestFit="1" customWidth="1"/>
    <col min="7177" max="7416" width="11.53125" style="2"/>
    <col min="7417" max="7417" width="10.86328125" style="2" customWidth="1"/>
    <col min="7418" max="7418" width="48.1328125" style="2" customWidth="1"/>
    <col min="7419" max="7419" width="38.53125" style="2" customWidth="1"/>
    <col min="7420" max="7420" width="30.86328125" style="2" customWidth="1"/>
    <col min="7421" max="7421" width="16.86328125" style="2" customWidth="1"/>
    <col min="7422" max="7423" width="4.1328125" style="2" customWidth="1"/>
    <col min="7424" max="7424" width="3.796875" style="2" customWidth="1"/>
    <col min="7425" max="7425" width="4.46484375" style="2" customWidth="1"/>
    <col min="7426" max="7426" width="22.19921875" style="2" customWidth="1"/>
    <col min="7427" max="7427" width="6.53125" style="2" customWidth="1"/>
    <col min="7428" max="7428" width="6.86328125" style="2" customWidth="1"/>
    <col min="7429" max="7429" width="8.86328125" style="2" customWidth="1"/>
    <col min="7430" max="7430" width="14.46484375" style="2" customWidth="1"/>
    <col min="7431" max="7431" width="11.53125" style="2"/>
    <col min="7432" max="7432" width="11.796875" style="2" bestFit="1" customWidth="1"/>
    <col min="7433" max="7672" width="11.53125" style="2"/>
    <col min="7673" max="7673" width="10.86328125" style="2" customWidth="1"/>
    <col min="7674" max="7674" width="48.1328125" style="2" customWidth="1"/>
    <col min="7675" max="7675" width="38.53125" style="2" customWidth="1"/>
    <col min="7676" max="7676" width="30.86328125" style="2" customWidth="1"/>
    <col min="7677" max="7677" width="16.86328125" style="2" customWidth="1"/>
    <col min="7678" max="7679" width="4.1328125" style="2" customWidth="1"/>
    <col min="7680" max="7680" width="3.796875" style="2" customWidth="1"/>
    <col min="7681" max="7681" width="4.46484375" style="2" customWidth="1"/>
    <col min="7682" max="7682" width="22.19921875" style="2" customWidth="1"/>
    <col min="7683" max="7683" width="6.53125" style="2" customWidth="1"/>
    <col min="7684" max="7684" width="6.86328125" style="2" customWidth="1"/>
    <col min="7685" max="7685" width="8.86328125" style="2" customWidth="1"/>
    <col min="7686" max="7686" width="14.46484375" style="2" customWidth="1"/>
    <col min="7687" max="7687" width="11.53125" style="2"/>
    <col min="7688" max="7688" width="11.796875" style="2" bestFit="1" customWidth="1"/>
    <col min="7689" max="7928" width="11.53125" style="2"/>
    <col min="7929" max="7929" width="10.86328125" style="2" customWidth="1"/>
    <col min="7930" max="7930" width="48.1328125" style="2" customWidth="1"/>
    <col min="7931" max="7931" width="38.53125" style="2" customWidth="1"/>
    <col min="7932" max="7932" width="30.86328125" style="2" customWidth="1"/>
    <col min="7933" max="7933" width="16.86328125" style="2" customWidth="1"/>
    <col min="7934" max="7935" width="4.1328125" style="2" customWidth="1"/>
    <col min="7936" max="7936" width="3.796875" style="2" customWidth="1"/>
    <col min="7937" max="7937" width="4.46484375" style="2" customWidth="1"/>
    <col min="7938" max="7938" width="22.19921875" style="2" customWidth="1"/>
    <col min="7939" max="7939" width="6.53125" style="2" customWidth="1"/>
    <col min="7940" max="7940" width="6.86328125" style="2" customWidth="1"/>
    <col min="7941" max="7941" width="8.86328125" style="2" customWidth="1"/>
    <col min="7942" max="7942" width="14.46484375" style="2" customWidth="1"/>
    <col min="7943" max="7943" width="11.53125" style="2"/>
    <col min="7944" max="7944" width="11.796875" style="2" bestFit="1" customWidth="1"/>
    <col min="7945" max="8184" width="11.53125" style="2"/>
    <col min="8185" max="8185" width="10.86328125" style="2" customWidth="1"/>
    <col min="8186" max="8186" width="48.1328125" style="2" customWidth="1"/>
    <col min="8187" max="8187" width="38.53125" style="2" customWidth="1"/>
    <col min="8188" max="8188" width="30.86328125" style="2" customWidth="1"/>
    <col min="8189" max="8189" width="16.86328125" style="2" customWidth="1"/>
    <col min="8190" max="8191" width="4.1328125" style="2" customWidth="1"/>
    <col min="8192" max="8192" width="3.796875" style="2" customWidth="1"/>
    <col min="8193" max="8193" width="4.46484375" style="2" customWidth="1"/>
    <col min="8194" max="8194" width="22.19921875" style="2" customWidth="1"/>
    <col min="8195" max="8195" width="6.53125" style="2" customWidth="1"/>
    <col min="8196" max="8196" width="6.86328125" style="2" customWidth="1"/>
    <col min="8197" max="8197" width="8.86328125" style="2" customWidth="1"/>
    <col min="8198" max="8198" width="14.46484375" style="2" customWidth="1"/>
    <col min="8199" max="8199" width="11.53125" style="2"/>
    <col min="8200" max="8200" width="11.796875" style="2" bestFit="1" customWidth="1"/>
    <col min="8201" max="8440" width="11.53125" style="2"/>
    <col min="8441" max="8441" width="10.86328125" style="2" customWidth="1"/>
    <col min="8442" max="8442" width="48.1328125" style="2" customWidth="1"/>
    <col min="8443" max="8443" width="38.53125" style="2" customWidth="1"/>
    <col min="8444" max="8444" width="30.86328125" style="2" customWidth="1"/>
    <col min="8445" max="8445" width="16.86328125" style="2" customWidth="1"/>
    <col min="8446" max="8447" width="4.1328125" style="2" customWidth="1"/>
    <col min="8448" max="8448" width="3.796875" style="2" customWidth="1"/>
    <col min="8449" max="8449" width="4.46484375" style="2" customWidth="1"/>
    <col min="8450" max="8450" width="22.19921875" style="2" customWidth="1"/>
    <col min="8451" max="8451" width="6.53125" style="2" customWidth="1"/>
    <col min="8452" max="8452" width="6.86328125" style="2" customWidth="1"/>
    <col min="8453" max="8453" width="8.86328125" style="2" customWidth="1"/>
    <col min="8454" max="8454" width="14.46484375" style="2" customWidth="1"/>
    <col min="8455" max="8455" width="11.53125" style="2"/>
    <col min="8456" max="8456" width="11.796875" style="2" bestFit="1" customWidth="1"/>
    <col min="8457" max="8696" width="11.53125" style="2"/>
    <col min="8697" max="8697" width="10.86328125" style="2" customWidth="1"/>
    <col min="8698" max="8698" width="48.1328125" style="2" customWidth="1"/>
    <col min="8699" max="8699" width="38.53125" style="2" customWidth="1"/>
    <col min="8700" max="8700" width="30.86328125" style="2" customWidth="1"/>
    <col min="8701" max="8701" width="16.86328125" style="2" customWidth="1"/>
    <col min="8702" max="8703" width="4.1328125" style="2" customWidth="1"/>
    <col min="8704" max="8704" width="3.796875" style="2" customWidth="1"/>
    <col min="8705" max="8705" width="4.46484375" style="2" customWidth="1"/>
    <col min="8706" max="8706" width="22.19921875" style="2" customWidth="1"/>
    <col min="8707" max="8707" width="6.53125" style="2" customWidth="1"/>
    <col min="8708" max="8708" width="6.86328125" style="2" customWidth="1"/>
    <col min="8709" max="8709" width="8.86328125" style="2" customWidth="1"/>
    <col min="8710" max="8710" width="14.46484375" style="2" customWidth="1"/>
    <col min="8711" max="8711" width="11.53125" style="2"/>
    <col min="8712" max="8712" width="11.796875" style="2" bestFit="1" customWidth="1"/>
    <col min="8713" max="8952" width="11.53125" style="2"/>
    <col min="8953" max="8953" width="10.86328125" style="2" customWidth="1"/>
    <col min="8954" max="8954" width="48.1328125" style="2" customWidth="1"/>
    <col min="8955" max="8955" width="38.53125" style="2" customWidth="1"/>
    <col min="8956" max="8956" width="30.86328125" style="2" customWidth="1"/>
    <col min="8957" max="8957" width="16.86328125" style="2" customWidth="1"/>
    <col min="8958" max="8959" width="4.1328125" style="2" customWidth="1"/>
    <col min="8960" max="8960" width="3.796875" style="2" customWidth="1"/>
    <col min="8961" max="8961" width="4.46484375" style="2" customWidth="1"/>
    <col min="8962" max="8962" width="22.19921875" style="2" customWidth="1"/>
    <col min="8963" max="8963" width="6.53125" style="2" customWidth="1"/>
    <col min="8964" max="8964" width="6.86328125" style="2" customWidth="1"/>
    <col min="8965" max="8965" width="8.86328125" style="2" customWidth="1"/>
    <col min="8966" max="8966" width="14.46484375" style="2" customWidth="1"/>
    <col min="8967" max="8967" width="11.53125" style="2"/>
    <col min="8968" max="8968" width="11.796875" style="2" bestFit="1" customWidth="1"/>
    <col min="8969" max="9208" width="11.53125" style="2"/>
    <col min="9209" max="9209" width="10.86328125" style="2" customWidth="1"/>
    <col min="9210" max="9210" width="48.1328125" style="2" customWidth="1"/>
    <col min="9211" max="9211" width="38.53125" style="2" customWidth="1"/>
    <col min="9212" max="9212" width="30.86328125" style="2" customWidth="1"/>
    <col min="9213" max="9213" width="16.86328125" style="2" customWidth="1"/>
    <col min="9214" max="9215" width="4.1328125" style="2" customWidth="1"/>
    <col min="9216" max="9216" width="3.796875" style="2" customWidth="1"/>
    <col min="9217" max="9217" width="4.46484375" style="2" customWidth="1"/>
    <col min="9218" max="9218" width="22.19921875" style="2" customWidth="1"/>
    <col min="9219" max="9219" width="6.53125" style="2" customWidth="1"/>
    <col min="9220" max="9220" width="6.86328125" style="2" customWidth="1"/>
    <col min="9221" max="9221" width="8.86328125" style="2" customWidth="1"/>
    <col min="9222" max="9222" width="14.46484375" style="2" customWidth="1"/>
    <col min="9223" max="9223" width="11.53125" style="2"/>
    <col min="9224" max="9224" width="11.796875" style="2" bestFit="1" customWidth="1"/>
    <col min="9225" max="9464" width="11.53125" style="2"/>
    <col min="9465" max="9465" width="10.86328125" style="2" customWidth="1"/>
    <col min="9466" max="9466" width="48.1328125" style="2" customWidth="1"/>
    <col min="9467" max="9467" width="38.53125" style="2" customWidth="1"/>
    <col min="9468" max="9468" width="30.86328125" style="2" customWidth="1"/>
    <col min="9469" max="9469" width="16.86328125" style="2" customWidth="1"/>
    <col min="9470" max="9471" width="4.1328125" style="2" customWidth="1"/>
    <col min="9472" max="9472" width="3.796875" style="2" customWidth="1"/>
    <col min="9473" max="9473" width="4.46484375" style="2" customWidth="1"/>
    <col min="9474" max="9474" width="22.19921875" style="2" customWidth="1"/>
    <col min="9475" max="9475" width="6.53125" style="2" customWidth="1"/>
    <col min="9476" max="9476" width="6.86328125" style="2" customWidth="1"/>
    <col min="9477" max="9477" width="8.86328125" style="2" customWidth="1"/>
    <col min="9478" max="9478" width="14.46484375" style="2" customWidth="1"/>
    <col min="9479" max="9479" width="11.53125" style="2"/>
    <col min="9480" max="9480" width="11.796875" style="2" bestFit="1" customWidth="1"/>
    <col min="9481" max="9720" width="11.53125" style="2"/>
    <col min="9721" max="9721" width="10.86328125" style="2" customWidth="1"/>
    <col min="9722" max="9722" width="48.1328125" style="2" customWidth="1"/>
    <col min="9723" max="9723" width="38.53125" style="2" customWidth="1"/>
    <col min="9724" max="9724" width="30.86328125" style="2" customWidth="1"/>
    <col min="9725" max="9725" width="16.86328125" style="2" customWidth="1"/>
    <col min="9726" max="9727" width="4.1328125" style="2" customWidth="1"/>
    <col min="9728" max="9728" width="3.796875" style="2" customWidth="1"/>
    <col min="9729" max="9729" width="4.46484375" style="2" customWidth="1"/>
    <col min="9730" max="9730" width="22.19921875" style="2" customWidth="1"/>
    <col min="9731" max="9731" width="6.53125" style="2" customWidth="1"/>
    <col min="9732" max="9732" width="6.86328125" style="2" customWidth="1"/>
    <col min="9733" max="9733" width="8.86328125" style="2" customWidth="1"/>
    <col min="9734" max="9734" width="14.46484375" style="2" customWidth="1"/>
    <col min="9735" max="9735" width="11.53125" style="2"/>
    <col min="9736" max="9736" width="11.796875" style="2" bestFit="1" customWidth="1"/>
    <col min="9737" max="9976" width="11.53125" style="2"/>
    <col min="9977" max="9977" width="10.86328125" style="2" customWidth="1"/>
    <col min="9978" max="9978" width="48.1328125" style="2" customWidth="1"/>
    <col min="9979" max="9979" width="38.53125" style="2" customWidth="1"/>
    <col min="9980" max="9980" width="30.86328125" style="2" customWidth="1"/>
    <col min="9981" max="9981" width="16.86328125" style="2" customWidth="1"/>
    <col min="9982" max="9983" width="4.1328125" style="2" customWidth="1"/>
    <col min="9984" max="9984" width="3.796875" style="2" customWidth="1"/>
    <col min="9985" max="9985" width="4.46484375" style="2" customWidth="1"/>
    <col min="9986" max="9986" width="22.19921875" style="2" customWidth="1"/>
    <col min="9987" max="9987" width="6.53125" style="2" customWidth="1"/>
    <col min="9988" max="9988" width="6.86328125" style="2" customWidth="1"/>
    <col min="9989" max="9989" width="8.86328125" style="2" customWidth="1"/>
    <col min="9990" max="9990" width="14.46484375" style="2" customWidth="1"/>
    <col min="9991" max="9991" width="11.53125" style="2"/>
    <col min="9992" max="9992" width="11.796875" style="2" bestFit="1" customWidth="1"/>
    <col min="9993" max="10232" width="11.53125" style="2"/>
    <col min="10233" max="10233" width="10.86328125" style="2" customWidth="1"/>
    <col min="10234" max="10234" width="48.1328125" style="2" customWidth="1"/>
    <col min="10235" max="10235" width="38.53125" style="2" customWidth="1"/>
    <col min="10236" max="10236" width="30.86328125" style="2" customWidth="1"/>
    <col min="10237" max="10237" width="16.86328125" style="2" customWidth="1"/>
    <col min="10238" max="10239" width="4.1328125" style="2" customWidth="1"/>
    <col min="10240" max="10240" width="3.796875" style="2" customWidth="1"/>
    <col min="10241" max="10241" width="4.46484375" style="2" customWidth="1"/>
    <col min="10242" max="10242" width="22.19921875" style="2" customWidth="1"/>
    <col min="10243" max="10243" width="6.53125" style="2" customWidth="1"/>
    <col min="10244" max="10244" width="6.86328125" style="2" customWidth="1"/>
    <col min="10245" max="10245" width="8.86328125" style="2" customWidth="1"/>
    <col min="10246" max="10246" width="14.46484375" style="2" customWidth="1"/>
    <col min="10247" max="10247" width="11.53125" style="2"/>
    <col min="10248" max="10248" width="11.796875" style="2" bestFit="1" customWidth="1"/>
    <col min="10249" max="10488" width="11.53125" style="2"/>
    <col min="10489" max="10489" width="10.86328125" style="2" customWidth="1"/>
    <col min="10490" max="10490" width="48.1328125" style="2" customWidth="1"/>
    <col min="10491" max="10491" width="38.53125" style="2" customWidth="1"/>
    <col min="10492" max="10492" width="30.86328125" style="2" customWidth="1"/>
    <col min="10493" max="10493" width="16.86328125" style="2" customWidth="1"/>
    <col min="10494" max="10495" width="4.1328125" style="2" customWidth="1"/>
    <col min="10496" max="10496" width="3.796875" style="2" customWidth="1"/>
    <col min="10497" max="10497" width="4.46484375" style="2" customWidth="1"/>
    <col min="10498" max="10498" width="22.19921875" style="2" customWidth="1"/>
    <col min="10499" max="10499" width="6.53125" style="2" customWidth="1"/>
    <col min="10500" max="10500" width="6.86328125" style="2" customWidth="1"/>
    <col min="10501" max="10501" width="8.86328125" style="2" customWidth="1"/>
    <col min="10502" max="10502" width="14.46484375" style="2" customWidth="1"/>
    <col min="10503" max="10503" width="11.53125" style="2"/>
    <col min="10504" max="10504" width="11.796875" style="2" bestFit="1" customWidth="1"/>
    <col min="10505" max="10744" width="11.53125" style="2"/>
    <col min="10745" max="10745" width="10.86328125" style="2" customWidth="1"/>
    <col min="10746" max="10746" width="48.1328125" style="2" customWidth="1"/>
    <col min="10747" max="10747" width="38.53125" style="2" customWidth="1"/>
    <col min="10748" max="10748" width="30.86328125" style="2" customWidth="1"/>
    <col min="10749" max="10749" width="16.86328125" style="2" customWidth="1"/>
    <col min="10750" max="10751" width="4.1328125" style="2" customWidth="1"/>
    <col min="10752" max="10752" width="3.796875" style="2" customWidth="1"/>
    <col min="10753" max="10753" width="4.46484375" style="2" customWidth="1"/>
    <col min="10754" max="10754" width="22.19921875" style="2" customWidth="1"/>
    <col min="10755" max="10755" width="6.53125" style="2" customWidth="1"/>
    <col min="10756" max="10756" width="6.86328125" style="2" customWidth="1"/>
    <col min="10757" max="10757" width="8.86328125" style="2" customWidth="1"/>
    <col min="10758" max="10758" width="14.46484375" style="2" customWidth="1"/>
    <col min="10759" max="10759" width="11.53125" style="2"/>
    <col min="10760" max="10760" width="11.796875" style="2" bestFit="1" customWidth="1"/>
    <col min="10761" max="11000" width="11.53125" style="2"/>
    <col min="11001" max="11001" width="10.86328125" style="2" customWidth="1"/>
    <col min="11002" max="11002" width="48.1328125" style="2" customWidth="1"/>
    <col min="11003" max="11003" width="38.53125" style="2" customWidth="1"/>
    <col min="11004" max="11004" width="30.86328125" style="2" customWidth="1"/>
    <col min="11005" max="11005" width="16.86328125" style="2" customWidth="1"/>
    <col min="11006" max="11007" width="4.1328125" style="2" customWidth="1"/>
    <col min="11008" max="11008" width="3.796875" style="2" customWidth="1"/>
    <col min="11009" max="11009" width="4.46484375" style="2" customWidth="1"/>
    <col min="11010" max="11010" width="22.19921875" style="2" customWidth="1"/>
    <col min="11011" max="11011" width="6.53125" style="2" customWidth="1"/>
    <col min="11012" max="11012" width="6.86328125" style="2" customWidth="1"/>
    <col min="11013" max="11013" width="8.86328125" style="2" customWidth="1"/>
    <col min="11014" max="11014" width="14.46484375" style="2" customWidth="1"/>
    <col min="11015" max="11015" width="11.53125" style="2"/>
    <col min="11016" max="11016" width="11.796875" style="2" bestFit="1" customWidth="1"/>
    <col min="11017" max="11256" width="11.53125" style="2"/>
    <col min="11257" max="11257" width="10.86328125" style="2" customWidth="1"/>
    <col min="11258" max="11258" width="48.1328125" style="2" customWidth="1"/>
    <col min="11259" max="11259" width="38.53125" style="2" customWidth="1"/>
    <col min="11260" max="11260" width="30.86328125" style="2" customWidth="1"/>
    <col min="11261" max="11261" width="16.86328125" style="2" customWidth="1"/>
    <col min="11262" max="11263" width="4.1328125" style="2" customWidth="1"/>
    <col min="11264" max="11264" width="3.796875" style="2" customWidth="1"/>
    <col min="11265" max="11265" width="4.46484375" style="2" customWidth="1"/>
    <col min="11266" max="11266" width="22.19921875" style="2" customWidth="1"/>
    <col min="11267" max="11267" width="6.53125" style="2" customWidth="1"/>
    <col min="11268" max="11268" width="6.86328125" style="2" customWidth="1"/>
    <col min="11269" max="11269" width="8.86328125" style="2" customWidth="1"/>
    <col min="11270" max="11270" width="14.46484375" style="2" customWidth="1"/>
    <col min="11271" max="11271" width="11.53125" style="2"/>
    <col min="11272" max="11272" width="11.796875" style="2" bestFit="1" customWidth="1"/>
    <col min="11273" max="11512" width="11.53125" style="2"/>
    <col min="11513" max="11513" width="10.86328125" style="2" customWidth="1"/>
    <col min="11514" max="11514" width="48.1328125" style="2" customWidth="1"/>
    <col min="11515" max="11515" width="38.53125" style="2" customWidth="1"/>
    <col min="11516" max="11516" width="30.86328125" style="2" customWidth="1"/>
    <col min="11517" max="11517" width="16.86328125" style="2" customWidth="1"/>
    <col min="11518" max="11519" width="4.1328125" style="2" customWidth="1"/>
    <col min="11520" max="11520" width="3.796875" style="2" customWidth="1"/>
    <col min="11521" max="11521" width="4.46484375" style="2" customWidth="1"/>
    <col min="11522" max="11522" width="22.19921875" style="2" customWidth="1"/>
    <col min="11523" max="11523" width="6.53125" style="2" customWidth="1"/>
    <col min="11524" max="11524" width="6.86328125" style="2" customWidth="1"/>
    <col min="11525" max="11525" width="8.86328125" style="2" customWidth="1"/>
    <col min="11526" max="11526" width="14.46484375" style="2" customWidth="1"/>
    <col min="11527" max="11527" width="11.53125" style="2"/>
    <col min="11528" max="11528" width="11.796875" style="2" bestFit="1" customWidth="1"/>
    <col min="11529" max="11768" width="11.53125" style="2"/>
    <col min="11769" max="11769" width="10.86328125" style="2" customWidth="1"/>
    <col min="11770" max="11770" width="48.1328125" style="2" customWidth="1"/>
    <col min="11771" max="11771" width="38.53125" style="2" customWidth="1"/>
    <col min="11772" max="11772" width="30.86328125" style="2" customWidth="1"/>
    <col min="11773" max="11773" width="16.86328125" style="2" customWidth="1"/>
    <col min="11774" max="11775" width="4.1328125" style="2" customWidth="1"/>
    <col min="11776" max="11776" width="3.796875" style="2" customWidth="1"/>
    <col min="11777" max="11777" width="4.46484375" style="2" customWidth="1"/>
    <col min="11778" max="11778" width="22.19921875" style="2" customWidth="1"/>
    <col min="11779" max="11779" width="6.53125" style="2" customWidth="1"/>
    <col min="11780" max="11780" width="6.86328125" style="2" customWidth="1"/>
    <col min="11781" max="11781" width="8.86328125" style="2" customWidth="1"/>
    <col min="11782" max="11782" width="14.46484375" style="2" customWidth="1"/>
    <col min="11783" max="11783" width="11.53125" style="2"/>
    <col min="11784" max="11784" width="11.796875" style="2" bestFit="1" customWidth="1"/>
    <col min="11785" max="12024" width="11.53125" style="2"/>
    <col min="12025" max="12025" width="10.86328125" style="2" customWidth="1"/>
    <col min="12026" max="12026" width="48.1328125" style="2" customWidth="1"/>
    <col min="12027" max="12027" width="38.53125" style="2" customWidth="1"/>
    <col min="12028" max="12028" width="30.86328125" style="2" customWidth="1"/>
    <col min="12029" max="12029" width="16.86328125" style="2" customWidth="1"/>
    <col min="12030" max="12031" width="4.1328125" style="2" customWidth="1"/>
    <col min="12032" max="12032" width="3.796875" style="2" customWidth="1"/>
    <col min="12033" max="12033" width="4.46484375" style="2" customWidth="1"/>
    <col min="12034" max="12034" width="22.19921875" style="2" customWidth="1"/>
    <col min="12035" max="12035" width="6.53125" style="2" customWidth="1"/>
    <col min="12036" max="12036" width="6.86328125" style="2" customWidth="1"/>
    <col min="12037" max="12037" width="8.86328125" style="2" customWidth="1"/>
    <col min="12038" max="12038" width="14.46484375" style="2" customWidth="1"/>
    <col min="12039" max="12039" width="11.53125" style="2"/>
    <col min="12040" max="12040" width="11.796875" style="2" bestFit="1" customWidth="1"/>
    <col min="12041" max="12280" width="11.53125" style="2"/>
    <col min="12281" max="12281" width="10.86328125" style="2" customWidth="1"/>
    <col min="12282" max="12282" width="48.1328125" style="2" customWidth="1"/>
    <col min="12283" max="12283" width="38.53125" style="2" customWidth="1"/>
    <col min="12284" max="12284" width="30.86328125" style="2" customWidth="1"/>
    <col min="12285" max="12285" width="16.86328125" style="2" customWidth="1"/>
    <col min="12286" max="12287" width="4.1328125" style="2" customWidth="1"/>
    <col min="12288" max="12288" width="3.796875" style="2" customWidth="1"/>
    <col min="12289" max="12289" width="4.46484375" style="2" customWidth="1"/>
    <col min="12290" max="12290" width="22.19921875" style="2" customWidth="1"/>
    <col min="12291" max="12291" width="6.53125" style="2" customWidth="1"/>
    <col min="12292" max="12292" width="6.86328125" style="2" customWidth="1"/>
    <col min="12293" max="12293" width="8.86328125" style="2" customWidth="1"/>
    <col min="12294" max="12294" width="14.46484375" style="2" customWidth="1"/>
    <col min="12295" max="12295" width="11.53125" style="2"/>
    <col min="12296" max="12296" width="11.796875" style="2" bestFit="1" customWidth="1"/>
    <col min="12297" max="12536" width="11.53125" style="2"/>
    <col min="12537" max="12537" width="10.86328125" style="2" customWidth="1"/>
    <col min="12538" max="12538" width="48.1328125" style="2" customWidth="1"/>
    <col min="12539" max="12539" width="38.53125" style="2" customWidth="1"/>
    <col min="12540" max="12540" width="30.86328125" style="2" customWidth="1"/>
    <col min="12541" max="12541" width="16.86328125" style="2" customWidth="1"/>
    <col min="12542" max="12543" width="4.1328125" style="2" customWidth="1"/>
    <col min="12544" max="12544" width="3.796875" style="2" customWidth="1"/>
    <col min="12545" max="12545" width="4.46484375" style="2" customWidth="1"/>
    <col min="12546" max="12546" width="22.19921875" style="2" customWidth="1"/>
    <col min="12547" max="12547" width="6.53125" style="2" customWidth="1"/>
    <col min="12548" max="12548" width="6.86328125" style="2" customWidth="1"/>
    <col min="12549" max="12549" width="8.86328125" style="2" customWidth="1"/>
    <col min="12550" max="12550" width="14.46484375" style="2" customWidth="1"/>
    <col min="12551" max="12551" width="11.53125" style="2"/>
    <col min="12552" max="12552" width="11.796875" style="2" bestFit="1" customWidth="1"/>
    <col min="12553" max="12792" width="11.53125" style="2"/>
    <col min="12793" max="12793" width="10.86328125" style="2" customWidth="1"/>
    <col min="12794" max="12794" width="48.1328125" style="2" customWidth="1"/>
    <col min="12795" max="12795" width="38.53125" style="2" customWidth="1"/>
    <col min="12796" max="12796" width="30.86328125" style="2" customWidth="1"/>
    <col min="12797" max="12797" width="16.86328125" style="2" customWidth="1"/>
    <col min="12798" max="12799" width="4.1328125" style="2" customWidth="1"/>
    <col min="12800" max="12800" width="3.796875" style="2" customWidth="1"/>
    <col min="12801" max="12801" width="4.46484375" style="2" customWidth="1"/>
    <col min="12802" max="12802" width="22.19921875" style="2" customWidth="1"/>
    <col min="12803" max="12803" width="6.53125" style="2" customWidth="1"/>
    <col min="12804" max="12804" width="6.86328125" style="2" customWidth="1"/>
    <col min="12805" max="12805" width="8.86328125" style="2" customWidth="1"/>
    <col min="12806" max="12806" width="14.46484375" style="2" customWidth="1"/>
    <col min="12807" max="12807" width="11.53125" style="2"/>
    <col min="12808" max="12808" width="11.796875" style="2" bestFit="1" customWidth="1"/>
    <col min="12809" max="13048" width="11.53125" style="2"/>
    <col min="13049" max="13049" width="10.86328125" style="2" customWidth="1"/>
    <col min="13050" max="13050" width="48.1328125" style="2" customWidth="1"/>
    <col min="13051" max="13051" width="38.53125" style="2" customWidth="1"/>
    <col min="13052" max="13052" width="30.86328125" style="2" customWidth="1"/>
    <col min="13053" max="13053" width="16.86328125" style="2" customWidth="1"/>
    <col min="13054" max="13055" width="4.1328125" style="2" customWidth="1"/>
    <col min="13056" max="13056" width="3.796875" style="2" customWidth="1"/>
    <col min="13057" max="13057" width="4.46484375" style="2" customWidth="1"/>
    <col min="13058" max="13058" width="22.19921875" style="2" customWidth="1"/>
    <col min="13059" max="13059" width="6.53125" style="2" customWidth="1"/>
    <col min="13060" max="13060" width="6.86328125" style="2" customWidth="1"/>
    <col min="13061" max="13061" width="8.86328125" style="2" customWidth="1"/>
    <col min="13062" max="13062" width="14.46484375" style="2" customWidth="1"/>
    <col min="13063" max="13063" width="11.53125" style="2"/>
    <col min="13064" max="13064" width="11.796875" style="2" bestFit="1" customWidth="1"/>
    <col min="13065" max="13304" width="11.53125" style="2"/>
    <col min="13305" max="13305" width="10.86328125" style="2" customWidth="1"/>
    <col min="13306" max="13306" width="48.1328125" style="2" customWidth="1"/>
    <col min="13307" max="13307" width="38.53125" style="2" customWidth="1"/>
    <col min="13308" max="13308" width="30.86328125" style="2" customWidth="1"/>
    <col min="13309" max="13309" width="16.86328125" style="2" customWidth="1"/>
    <col min="13310" max="13311" width="4.1328125" style="2" customWidth="1"/>
    <col min="13312" max="13312" width="3.796875" style="2" customWidth="1"/>
    <col min="13313" max="13313" width="4.46484375" style="2" customWidth="1"/>
    <col min="13314" max="13314" width="22.19921875" style="2" customWidth="1"/>
    <col min="13315" max="13315" width="6.53125" style="2" customWidth="1"/>
    <col min="13316" max="13316" width="6.86328125" style="2" customWidth="1"/>
    <col min="13317" max="13317" width="8.86328125" style="2" customWidth="1"/>
    <col min="13318" max="13318" width="14.46484375" style="2" customWidth="1"/>
    <col min="13319" max="13319" width="11.53125" style="2"/>
    <col min="13320" max="13320" width="11.796875" style="2" bestFit="1" customWidth="1"/>
    <col min="13321" max="13560" width="11.53125" style="2"/>
    <col min="13561" max="13561" width="10.86328125" style="2" customWidth="1"/>
    <col min="13562" max="13562" width="48.1328125" style="2" customWidth="1"/>
    <col min="13563" max="13563" width="38.53125" style="2" customWidth="1"/>
    <col min="13564" max="13564" width="30.86328125" style="2" customWidth="1"/>
    <col min="13565" max="13565" width="16.86328125" style="2" customWidth="1"/>
    <col min="13566" max="13567" width="4.1328125" style="2" customWidth="1"/>
    <col min="13568" max="13568" width="3.796875" style="2" customWidth="1"/>
    <col min="13569" max="13569" width="4.46484375" style="2" customWidth="1"/>
    <col min="13570" max="13570" width="22.19921875" style="2" customWidth="1"/>
    <col min="13571" max="13571" width="6.53125" style="2" customWidth="1"/>
    <col min="13572" max="13572" width="6.86328125" style="2" customWidth="1"/>
    <col min="13573" max="13573" width="8.86328125" style="2" customWidth="1"/>
    <col min="13574" max="13574" width="14.46484375" style="2" customWidth="1"/>
    <col min="13575" max="13575" width="11.53125" style="2"/>
    <col min="13576" max="13576" width="11.796875" style="2" bestFit="1" customWidth="1"/>
    <col min="13577" max="13816" width="11.53125" style="2"/>
    <col min="13817" max="13817" width="10.86328125" style="2" customWidth="1"/>
    <col min="13818" max="13818" width="48.1328125" style="2" customWidth="1"/>
    <col min="13819" max="13819" width="38.53125" style="2" customWidth="1"/>
    <col min="13820" max="13820" width="30.86328125" style="2" customWidth="1"/>
    <col min="13821" max="13821" width="16.86328125" style="2" customWidth="1"/>
    <col min="13822" max="13823" width="4.1328125" style="2" customWidth="1"/>
    <col min="13824" max="13824" width="3.796875" style="2" customWidth="1"/>
    <col min="13825" max="13825" width="4.46484375" style="2" customWidth="1"/>
    <col min="13826" max="13826" width="22.19921875" style="2" customWidth="1"/>
    <col min="13827" max="13827" width="6.53125" style="2" customWidth="1"/>
    <col min="13828" max="13828" width="6.86328125" style="2" customWidth="1"/>
    <col min="13829" max="13829" width="8.86328125" style="2" customWidth="1"/>
    <col min="13830" max="13830" width="14.46484375" style="2" customWidth="1"/>
    <col min="13831" max="13831" width="11.53125" style="2"/>
    <col min="13832" max="13832" width="11.796875" style="2" bestFit="1" customWidth="1"/>
    <col min="13833" max="14072" width="11.53125" style="2"/>
    <col min="14073" max="14073" width="10.86328125" style="2" customWidth="1"/>
    <col min="14074" max="14074" width="48.1328125" style="2" customWidth="1"/>
    <col min="14075" max="14075" width="38.53125" style="2" customWidth="1"/>
    <col min="14076" max="14076" width="30.86328125" style="2" customWidth="1"/>
    <col min="14077" max="14077" width="16.86328125" style="2" customWidth="1"/>
    <col min="14078" max="14079" width="4.1328125" style="2" customWidth="1"/>
    <col min="14080" max="14080" width="3.796875" style="2" customWidth="1"/>
    <col min="14081" max="14081" width="4.46484375" style="2" customWidth="1"/>
    <col min="14082" max="14082" width="22.19921875" style="2" customWidth="1"/>
    <col min="14083" max="14083" width="6.53125" style="2" customWidth="1"/>
    <col min="14084" max="14084" width="6.86328125" style="2" customWidth="1"/>
    <col min="14085" max="14085" width="8.86328125" style="2" customWidth="1"/>
    <col min="14086" max="14086" width="14.46484375" style="2" customWidth="1"/>
    <col min="14087" max="14087" width="11.53125" style="2"/>
    <col min="14088" max="14088" width="11.796875" style="2" bestFit="1" customWidth="1"/>
    <col min="14089" max="14328" width="11.53125" style="2"/>
    <col min="14329" max="14329" width="10.86328125" style="2" customWidth="1"/>
    <col min="14330" max="14330" width="48.1328125" style="2" customWidth="1"/>
    <col min="14331" max="14331" width="38.53125" style="2" customWidth="1"/>
    <col min="14332" max="14332" width="30.86328125" style="2" customWidth="1"/>
    <col min="14333" max="14333" width="16.86328125" style="2" customWidth="1"/>
    <col min="14334" max="14335" width="4.1328125" style="2" customWidth="1"/>
    <col min="14336" max="14336" width="3.796875" style="2" customWidth="1"/>
    <col min="14337" max="14337" width="4.46484375" style="2" customWidth="1"/>
    <col min="14338" max="14338" width="22.19921875" style="2" customWidth="1"/>
    <col min="14339" max="14339" width="6.53125" style="2" customWidth="1"/>
    <col min="14340" max="14340" width="6.86328125" style="2" customWidth="1"/>
    <col min="14341" max="14341" width="8.86328125" style="2" customWidth="1"/>
    <col min="14342" max="14342" width="14.46484375" style="2" customWidth="1"/>
    <col min="14343" max="14343" width="11.53125" style="2"/>
    <col min="14344" max="14344" width="11.796875" style="2" bestFit="1" customWidth="1"/>
    <col min="14345" max="14584" width="11.53125" style="2"/>
    <col min="14585" max="14585" width="10.86328125" style="2" customWidth="1"/>
    <col min="14586" max="14586" width="48.1328125" style="2" customWidth="1"/>
    <col min="14587" max="14587" width="38.53125" style="2" customWidth="1"/>
    <col min="14588" max="14588" width="30.86328125" style="2" customWidth="1"/>
    <col min="14589" max="14589" width="16.86328125" style="2" customWidth="1"/>
    <col min="14590" max="14591" width="4.1328125" style="2" customWidth="1"/>
    <col min="14592" max="14592" width="3.796875" style="2" customWidth="1"/>
    <col min="14593" max="14593" width="4.46484375" style="2" customWidth="1"/>
    <col min="14594" max="14594" width="22.19921875" style="2" customWidth="1"/>
    <col min="14595" max="14595" width="6.53125" style="2" customWidth="1"/>
    <col min="14596" max="14596" width="6.86328125" style="2" customWidth="1"/>
    <col min="14597" max="14597" width="8.86328125" style="2" customWidth="1"/>
    <col min="14598" max="14598" width="14.46484375" style="2" customWidth="1"/>
    <col min="14599" max="14599" width="11.53125" style="2"/>
    <col min="14600" max="14600" width="11.796875" style="2" bestFit="1" customWidth="1"/>
    <col min="14601" max="14840" width="11.53125" style="2"/>
    <col min="14841" max="14841" width="10.86328125" style="2" customWidth="1"/>
    <col min="14842" max="14842" width="48.1328125" style="2" customWidth="1"/>
    <col min="14843" max="14843" width="38.53125" style="2" customWidth="1"/>
    <col min="14844" max="14844" width="30.86328125" style="2" customWidth="1"/>
    <col min="14845" max="14845" width="16.86328125" style="2" customWidth="1"/>
    <col min="14846" max="14847" width="4.1328125" style="2" customWidth="1"/>
    <col min="14848" max="14848" width="3.796875" style="2" customWidth="1"/>
    <col min="14849" max="14849" width="4.46484375" style="2" customWidth="1"/>
    <col min="14850" max="14850" width="22.19921875" style="2" customWidth="1"/>
    <col min="14851" max="14851" width="6.53125" style="2" customWidth="1"/>
    <col min="14852" max="14852" width="6.86328125" style="2" customWidth="1"/>
    <col min="14853" max="14853" width="8.86328125" style="2" customWidth="1"/>
    <col min="14854" max="14854" width="14.46484375" style="2" customWidth="1"/>
    <col min="14855" max="14855" width="11.53125" style="2"/>
    <col min="14856" max="14856" width="11.796875" style="2" bestFit="1" customWidth="1"/>
    <col min="14857" max="15096" width="11.53125" style="2"/>
    <col min="15097" max="15097" width="10.86328125" style="2" customWidth="1"/>
    <col min="15098" max="15098" width="48.1328125" style="2" customWidth="1"/>
    <col min="15099" max="15099" width="38.53125" style="2" customWidth="1"/>
    <col min="15100" max="15100" width="30.86328125" style="2" customWidth="1"/>
    <col min="15101" max="15101" width="16.86328125" style="2" customWidth="1"/>
    <col min="15102" max="15103" width="4.1328125" style="2" customWidth="1"/>
    <col min="15104" max="15104" width="3.796875" style="2" customWidth="1"/>
    <col min="15105" max="15105" width="4.46484375" style="2" customWidth="1"/>
    <col min="15106" max="15106" width="22.19921875" style="2" customWidth="1"/>
    <col min="15107" max="15107" width="6.53125" style="2" customWidth="1"/>
    <col min="15108" max="15108" width="6.86328125" style="2" customWidth="1"/>
    <col min="15109" max="15109" width="8.86328125" style="2" customWidth="1"/>
    <col min="15110" max="15110" width="14.46484375" style="2" customWidth="1"/>
    <col min="15111" max="15111" width="11.53125" style="2"/>
    <col min="15112" max="15112" width="11.796875" style="2" bestFit="1" customWidth="1"/>
    <col min="15113" max="15352" width="11.53125" style="2"/>
    <col min="15353" max="15353" width="10.86328125" style="2" customWidth="1"/>
    <col min="15354" max="15354" width="48.1328125" style="2" customWidth="1"/>
    <col min="15355" max="15355" width="38.53125" style="2" customWidth="1"/>
    <col min="15356" max="15356" width="30.86328125" style="2" customWidth="1"/>
    <col min="15357" max="15357" width="16.86328125" style="2" customWidth="1"/>
    <col min="15358" max="15359" width="4.1328125" style="2" customWidth="1"/>
    <col min="15360" max="15360" width="3.796875" style="2" customWidth="1"/>
    <col min="15361" max="15361" width="4.46484375" style="2" customWidth="1"/>
    <col min="15362" max="15362" width="22.19921875" style="2" customWidth="1"/>
    <col min="15363" max="15363" width="6.53125" style="2" customWidth="1"/>
    <col min="15364" max="15364" width="6.86328125" style="2" customWidth="1"/>
    <col min="15365" max="15365" width="8.86328125" style="2" customWidth="1"/>
    <col min="15366" max="15366" width="14.46484375" style="2" customWidth="1"/>
    <col min="15367" max="15367" width="11.53125" style="2"/>
    <col min="15368" max="15368" width="11.796875" style="2" bestFit="1" customWidth="1"/>
    <col min="15369" max="15608" width="11.53125" style="2"/>
    <col min="15609" max="15609" width="10.86328125" style="2" customWidth="1"/>
    <col min="15610" max="15610" width="48.1328125" style="2" customWidth="1"/>
    <col min="15611" max="15611" width="38.53125" style="2" customWidth="1"/>
    <col min="15612" max="15612" width="30.86328125" style="2" customWidth="1"/>
    <col min="15613" max="15613" width="16.86328125" style="2" customWidth="1"/>
    <col min="15614" max="15615" width="4.1328125" style="2" customWidth="1"/>
    <col min="15616" max="15616" width="3.796875" style="2" customWidth="1"/>
    <col min="15617" max="15617" width="4.46484375" style="2" customWidth="1"/>
    <col min="15618" max="15618" width="22.19921875" style="2" customWidth="1"/>
    <col min="15619" max="15619" width="6.53125" style="2" customWidth="1"/>
    <col min="15620" max="15620" width="6.86328125" style="2" customWidth="1"/>
    <col min="15621" max="15621" width="8.86328125" style="2" customWidth="1"/>
    <col min="15622" max="15622" width="14.46484375" style="2" customWidth="1"/>
    <col min="15623" max="15623" width="11.53125" style="2"/>
    <col min="15624" max="15624" width="11.796875" style="2" bestFit="1" customWidth="1"/>
    <col min="15625" max="15864" width="11.53125" style="2"/>
    <col min="15865" max="15865" width="10.86328125" style="2" customWidth="1"/>
    <col min="15866" max="15866" width="48.1328125" style="2" customWidth="1"/>
    <col min="15867" max="15867" width="38.53125" style="2" customWidth="1"/>
    <col min="15868" max="15868" width="30.86328125" style="2" customWidth="1"/>
    <col min="15869" max="15869" width="16.86328125" style="2" customWidth="1"/>
    <col min="15870" max="15871" width="4.1328125" style="2" customWidth="1"/>
    <col min="15872" max="15872" width="3.796875" style="2" customWidth="1"/>
    <col min="15873" max="15873" width="4.46484375" style="2" customWidth="1"/>
    <col min="15874" max="15874" width="22.19921875" style="2" customWidth="1"/>
    <col min="15875" max="15875" width="6.53125" style="2" customWidth="1"/>
    <col min="15876" max="15876" width="6.86328125" style="2" customWidth="1"/>
    <col min="15877" max="15877" width="8.86328125" style="2" customWidth="1"/>
    <col min="15878" max="15878" width="14.46484375" style="2" customWidth="1"/>
    <col min="15879" max="15879" width="11.53125" style="2"/>
    <col min="15880" max="15880" width="11.796875" style="2" bestFit="1" customWidth="1"/>
    <col min="15881" max="16120" width="11.53125" style="2"/>
    <col min="16121" max="16121" width="10.86328125" style="2" customWidth="1"/>
    <col min="16122" max="16122" width="48.1328125" style="2" customWidth="1"/>
    <col min="16123" max="16123" width="38.53125" style="2" customWidth="1"/>
    <col min="16124" max="16124" width="30.86328125" style="2" customWidth="1"/>
    <col min="16125" max="16125" width="16.86328125" style="2" customWidth="1"/>
    <col min="16126" max="16127" width="4.1328125" style="2" customWidth="1"/>
    <col min="16128" max="16128" width="3.796875" style="2" customWidth="1"/>
    <col min="16129" max="16129" width="4.46484375" style="2" customWidth="1"/>
    <col min="16130" max="16130" width="22.19921875" style="2" customWidth="1"/>
    <col min="16131" max="16131" width="6.53125" style="2" customWidth="1"/>
    <col min="16132" max="16132" width="6.86328125" style="2" customWidth="1"/>
    <col min="16133" max="16133" width="8.86328125" style="2" customWidth="1"/>
    <col min="16134" max="16134" width="14.46484375" style="2" customWidth="1"/>
    <col min="16135" max="16135" width="11.53125" style="2"/>
    <col min="16136" max="16136" width="11.796875" style="2" bestFit="1" customWidth="1"/>
    <col min="16137" max="16384" width="11.53125" style="2"/>
  </cols>
  <sheetData>
    <row r="1" spans="1:15" ht="7.25" customHeight="1" x14ac:dyDescent="0.45">
      <c r="A1" s="1"/>
      <c r="B1" s="1"/>
      <c r="C1" s="1"/>
      <c r="D1" s="1"/>
      <c r="E1" s="1"/>
      <c r="F1" s="1"/>
      <c r="G1" s="1"/>
      <c r="H1" s="1"/>
      <c r="I1" s="1"/>
      <c r="J1" s="1"/>
    </row>
    <row r="2" spans="1:15" x14ac:dyDescent="0.45">
      <c r="A2" s="3" t="s">
        <v>2</v>
      </c>
      <c r="B2" s="4"/>
      <c r="C2" s="4"/>
      <c r="D2" s="4"/>
      <c r="E2" s="4"/>
      <c r="F2" s="4"/>
      <c r="G2" s="4"/>
      <c r="H2" s="4"/>
      <c r="I2" s="4"/>
      <c r="J2" s="4"/>
    </row>
    <row r="3" spans="1:15" ht="16.25" customHeight="1" x14ac:dyDescent="0.45">
      <c r="A3" s="115" t="s">
        <v>3</v>
      </c>
      <c r="B3" s="113"/>
      <c r="C3" s="113"/>
      <c r="D3" s="114"/>
      <c r="E3" s="114"/>
      <c r="F3" s="114"/>
      <c r="G3" s="5"/>
      <c r="H3" s="5"/>
      <c r="I3" s="5"/>
      <c r="J3" s="5"/>
    </row>
    <row r="4" spans="1:15" ht="15.6" customHeight="1" x14ac:dyDescent="0.45">
      <c r="A4" s="115" t="s">
        <v>4</v>
      </c>
      <c r="B4" s="115"/>
      <c r="C4" s="113"/>
      <c r="D4" s="114"/>
      <c r="E4" s="114"/>
      <c r="F4" s="114"/>
      <c r="G4" s="5"/>
      <c r="H4" s="5"/>
      <c r="I4" s="5"/>
      <c r="J4" s="5"/>
    </row>
    <row r="5" spans="1:15" ht="17.45" customHeight="1" x14ac:dyDescent="0.45">
      <c r="A5" s="115" t="s">
        <v>5</v>
      </c>
      <c r="B5" s="115"/>
      <c r="C5" s="113"/>
      <c r="D5" s="114"/>
      <c r="E5" s="114"/>
      <c r="F5" s="114"/>
      <c r="G5" s="5"/>
      <c r="H5" s="5"/>
      <c r="I5" s="5"/>
      <c r="J5" s="5"/>
    </row>
    <row r="6" spans="1:15" ht="18.600000000000001" customHeight="1" x14ac:dyDescent="0.45">
      <c r="A6" s="115" t="s">
        <v>6</v>
      </c>
      <c r="B6" s="113"/>
      <c r="C6" s="113"/>
      <c r="D6" s="6"/>
      <c r="E6" s="6"/>
      <c r="F6" s="6"/>
      <c r="G6" s="6"/>
      <c r="H6" s="6"/>
      <c r="I6" s="6"/>
      <c r="J6" s="6"/>
    </row>
    <row r="7" spans="1:15" ht="21" customHeight="1" x14ac:dyDescent="0.5">
      <c r="A7" s="6" t="s">
        <v>7</v>
      </c>
      <c r="B7" s="6"/>
      <c r="C7" s="6"/>
      <c r="D7" s="6"/>
      <c r="E7" s="6"/>
      <c r="F7" s="6"/>
      <c r="G7" s="6"/>
      <c r="H7" s="6"/>
      <c r="I7" s="6"/>
      <c r="J7" s="6"/>
      <c r="N7" s="112"/>
      <c r="O7" s="94"/>
    </row>
    <row r="8" spans="1:15" ht="21.6" customHeight="1" x14ac:dyDescent="0.45">
      <c r="A8" s="242" t="s">
        <v>8</v>
      </c>
      <c r="B8" s="242"/>
      <c r="C8" s="242" t="s">
        <v>9</v>
      </c>
      <c r="D8" s="242"/>
      <c r="E8" s="242" t="s">
        <v>10</v>
      </c>
      <c r="F8" s="242" t="s">
        <v>208</v>
      </c>
      <c r="G8" s="231" t="s">
        <v>217</v>
      </c>
      <c r="H8" s="242" t="s">
        <v>11</v>
      </c>
      <c r="I8" s="242" t="s">
        <v>201</v>
      </c>
      <c r="J8" s="242" t="s">
        <v>199</v>
      </c>
      <c r="K8" s="244" t="s">
        <v>12</v>
      </c>
      <c r="L8" s="244"/>
      <c r="M8" s="244"/>
      <c r="N8" s="245" t="s">
        <v>207</v>
      </c>
      <c r="O8" s="94"/>
    </row>
    <row r="9" spans="1:15" ht="20.45" customHeight="1" x14ac:dyDescent="0.45">
      <c r="A9" s="242" t="s">
        <v>13</v>
      </c>
      <c r="B9" s="242"/>
      <c r="C9" s="102" t="s">
        <v>14</v>
      </c>
      <c r="D9" s="103" t="s">
        <v>0</v>
      </c>
      <c r="E9" s="242"/>
      <c r="F9" s="242"/>
      <c r="G9" s="231"/>
      <c r="H9" s="242"/>
      <c r="I9" s="242"/>
      <c r="J9" s="242"/>
      <c r="K9" s="104" t="s">
        <v>200</v>
      </c>
      <c r="L9" s="104" t="s">
        <v>69</v>
      </c>
      <c r="M9" s="104" t="s">
        <v>70</v>
      </c>
      <c r="N9" s="245"/>
      <c r="O9" s="94"/>
    </row>
    <row r="10" spans="1:15" ht="24" customHeight="1" x14ac:dyDescent="0.45">
      <c r="A10" s="248" t="s">
        <v>214</v>
      </c>
      <c r="B10" s="248"/>
      <c r="C10" s="248"/>
      <c r="D10" s="248"/>
      <c r="E10" s="248"/>
      <c r="F10" s="248"/>
      <c r="G10" s="248"/>
      <c r="H10" s="248"/>
      <c r="I10" s="248"/>
      <c r="J10" s="248"/>
      <c r="K10" s="248"/>
      <c r="L10" s="248"/>
      <c r="M10" s="248"/>
      <c r="N10" s="145"/>
      <c r="O10" s="94"/>
    </row>
    <row r="11" spans="1:15" ht="21" customHeight="1" x14ac:dyDescent="0.45">
      <c r="A11" s="150"/>
      <c r="B11" s="232" t="s">
        <v>15</v>
      </c>
      <c r="C11" s="232"/>
      <c r="D11" s="232"/>
      <c r="E11" s="232"/>
      <c r="F11" s="232"/>
      <c r="G11" s="232"/>
      <c r="H11" s="232"/>
      <c r="I11" s="232"/>
      <c r="J11" s="232"/>
      <c r="K11" s="232"/>
      <c r="L11" s="232"/>
      <c r="M11" s="232"/>
      <c r="N11" s="145"/>
      <c r="O11" s="94"/>
    </row>
    <row r="12" spans="1:15" ht="23.45" customHeight="1" x14ac:dyDescent="0.45">
      <c r="A12" s="150"/>
      <c r="B12" s="243" t="s">
        <v>16</v>
      </c>
      <c r="C12" s="243"/>
      <c r="D12" s="243"/>
      <c r="E12" s="243"/>
      <c r="F12" s="243"/>
      <c r="G12" s="243"/>
      <c r="H12" s="243"/>
      <c r="I12" s="243"/>
      <c r="J12" s="243"/>
      <c r="K12" s="243"/>
      <c r="L12" s="243"/>
      <c r="M12" s="243"/>
      <c r="N12" s="145"/>
      <c r="O12" s="94"/>
    </row>
    <row r="13" spans="1:15" ht="28.25" customHeight="1" x14ac:dyDescent="0.45">
      <c r="A13" s="150"/>
      <c r="B13" s="253" t="s">
        <v>17</v>
      </c>
      <c r="C13" s="253"/>
      <c r="D13" s="8" t="s">
        <v>218</v>
      </c>
      <c r="E13" s="138">
        <v>0</v>
      </c>
      <c r="F13" s="101">
        <v>0</v>
      </c>
      <c r="G13" s="96">
        <v>715</v>
      </c>
      <c r="H13" s="138">
        <f>+E13-G13</f>
        <v>-715</v>
      </c>
      <c r="I13" s="137">
        <v>0</v>
      </c>
      <c r="J13" s="138"/>
      <c r="K13" s="9" t="s">
        <v>19</v>
      </c>
      <c r="L13" s="10" t="s">
        <v>20</v>
      </c>
      <c r="M13" s="9" t="s">
        <v>219</v>
      </c>
      <c r="N13" s="145" t="s">
        <v>203</v>
      </c>
      <c r="O13" s="94"/>
    </row>
    <row r="14" spans="1:15" ht="36" customHeight="1" x14ac:dyDescent="0.45">
      <c r="A14" s="150"/>
      <c r="B14" s="253"/>
      <c r="C14" s="253"/>
      <c r="D14" s="8" t="s">
        <v>18</v>
      </c>
      <c r="E14" s="138">
        <v>1500</v>
      </c>
      <c r="F14" s="143">
        <v>74</v>
      </c>
      <c r="G14" s="96"/>
      <c r="H14" s="138">
        <f>+E14-G14</f>
        <v>1500</v>
      </c>
      <c r="I14" s="137">
        <f>+G14/E14</f>
        <v>0</v>
      </c>
      <c r="J14" s="138"/>
      <c r="K14" s="9" t="s">
        <v>19</v>
      </c>
      <c r="L14" s="10" t="s">
        <v>20</v>
      </c>
      <c r="M14" s="9" t="s">
        <v>21</v>
      </c>
      <c r="N14" s="145" t="s">
        <v>203</v>
      </c>
      <c r="O14" s="94"/>
    </row>
    <row r="15" spans="1:15" ht="31.8" customHeight="1" x14ac:dyDescent="0.45">
      <c r="A15" s="150"/>
      <c r="B15" s="253"/>
      <c r="C15" s="253"/>
      <c r="D15" s="8" t="s">
        <v>22</v>
      </c>
      <c r="E15" s="138">
        <v>792.40800000000002</v>
      </c>
      <c r="F15" s="101">
        <f>E15</f>
        <v>792.40800000000002</v>
      </c>
      <c r="G15" s="96">
        <v>0</v>
      </c>
      <c r="H15" s="138">
        <f t="shared" ref="H15:H28" si="0">+E15-G15</f>
        <v>792.40800000000002</v>
      </c>
      <c r="I15" s="137">
        <f t="shared" ref="I15:I46" si="1">+G15/E15</f>
        <v>0</v>
      </c>
      <c r="J15" s="138"/>
      <c r="K15" s="9" t="s">
        <v>19</v>
      </c>
      <c r="L15" s="10" t="s">
        <v>20</v>
      </c>
      <c r="M15" s="9" t="s">
        <v>21</v>
      </c>
      <c r="N15" s="145" t="s">
        <v>203</v>
      </c>
      <c r="O15" s="94"/>
    </row>
    <row r="16" spans="1:15" ht="33.6" customHeight="1" x14ac:dyDescent="0.45">
      <c r="A16" s="150"/>
      <c r="B16" s="253"/>
      <c r="C16" s="253"/>
      <c r="D16" s="11" t="s">
        <v>23</v>
      </c>
      <c r="E16" s="138">
        <v>3000</v>
      </c>
      <c r="F16" s="101">
        <v>290</v>
      </c>
      <c r="G16" s="96"/>
      <c r="H16" s="138">
        <f t="shared" si="0"/>
        <v>3000</v>
      </c>
      <c r="I16" s="137">
        <f t="shared" si="1"/>
        <v>0</v>
      </c>
      <c r="J16" s="138"/>
      <c r="K16" s="9" t="s">
        <v>19</v>
      </c>
      <c r="L16" s="10" t="s">
        <v>20</v>
      </c>
      <c r="M16" s="9" t="s">
        <v>24</v>
      </c>
      <c r="N16" s="145" t="s">
        <v>203</v>
      </c>
      <c r="O16" s="94"/>
    </row>
    <row r="17" spans="1:790" s="12" customFormat="1" ht="39" customHeight="1" x14ac:dyDescent="0.45">
      <c r="A17" s="150"/>
      <c r="B17" s="253"/>
      <c r="C17" s="253"/>
      <c r="D17" s="11" t="s">
        <v>25</v>
      </c>
      <c r="E17" s="138">
        <v>1000</v>
      </c>
      <c r="F17" s="101">
        <v>500</v>
      </c>
      <c r="G17" s="96">
        <v>0</v>
      </c>
      <c r="H17" s="138">
        <f t="shared" si="0"/>
        <v>1000</v>
      </c>
      <c r="I17" s="137">
        <f t="shared" si="1"/>
        <v>0</v>
      </c>
      <c r="J17" s="138"/>
      <c r="K17" s="9" t="s">
        <v>19</v>
      </c>
      <c r="L17" s="10" t="s">
        <v>20</v>
      </c>
      <c r="M17" s="151" t="s">
        <v>26</v>
      </c>
      <c r="N17" s="145" t="s">
        <v>144</v>
      </c>
      <c r="O17" s="94"/>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row>
    <row r="18" spans="1:790" ht="49.25" customHeight="1" x14ac:dyDescent="0.45">
      <c r="A18" s="150"/>
      <c r="B18" s="253"/>
      <c r="C18" s="253"/>
      <c r="D18" s="30" t="s">
        <v>27</v>
      </c>
      <c r="E18" s="13">
        <v>1000</v>
      </c>
      <c r="F18" s="143">
        <v>1325</v>
      </c>
      <c r="G18" s="97">
        <v>0</v>
      </c>
      <c r="H18" s="138">
        <f t="shared" si="0"/>
        <v>1000</v>
      </c>
      <c r="I18" s="137">
        <f t="shared" si="1"/>
        <v>0</v>
      </c>
      <c r="J18" s="13"/>
      <c r="K18" s="9" t="s">
        <v>19</v>
      </c>
      <c r="L18" s="10" t="s">
        <v>20</v>
      </c>
      <c r="M18" s="152" t="s">
        <v>28</v>
      </c>
      <c r="N18" s="145" t="s">
        <v>203</v>
      </c>
      <c r="O18" s="94"/>
    </row>
    <row r="19" spans="1:790" s="12" customFormat="1" ht="37.25" customHeight="1" x14ac:dyDescent="0.45">
      <c r="A19" s="150"/>
      <c r="B19" s="253"/>
      <c r="C19" s="253"/>
      <c r="D19" s="30" t="s">
        <v>29</v>
      </c>
      <c r="E19" s="138">
        <v>3000</v>
      </c>
      <c r="F19" s="101">
        <v>2500</v>
      </c>
      <c r="G19" s="96">
        <v>1658</v>
      </c>
      <c r="H19" s="138">
        <f t="shared" si="0"/>
        <v>1342</v>
      </c>
      <c r="I19" s="137">
        <f t="shared" si="1"/>
        <v>0.55266666666666664</v>
      </c>
      <c r="J19" s="138"/>
      <c r="K19" s="9" t="s">
        <v>19</v>
      </c>
      <c r="L19" s="10" t="s">
        <v>20</v>
      </c>
      <c r="M19" s="152" t="s">
        <v>30</v>
      </c>
      <c r="N19" s="145" t="s">
        <v>144</v>
      </c>
      <c r="O19" s="94"/>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row>
    <row r="20" spans="1:790" ht="27.6" customHeight="1" x14ac:dyDescent="0.45">
      <c r="A20" s="150"/>
      <c r="B20" s="253"/>
      <c r="C20" s="253"/>
      <c r="D20" s="30" t="s">
        <v>31</v>
      </c>
      <c r="E20" s="138">
        <f>15500-340.261+23.879-1.732+0.121-0.008</f>
        <v>15181.999</v>
      </c>
      <c r="F20" s="143">
        <v>5898</v>
      </c>
      <c r="G20" s="96"/>
      <c r="H20" s="138">
        <f t="shared" si="0"/>
        <v>15181.999</v>
      </c>
      <c r="I20" s="137">
        <f t="shared" si="1"/>
        <v>0</v>
      </c>
      <c r="J20" s="138"/>
      <c r="K20" s="9" t="s">
        <v>19</v>
      </c>
      <c r="L20" s="10" t="s">
        <v>20</v>
      </c>
      <c r="M20" s="10" t="s">
        <v>30</v>
      </c>
      <c r="N20" s="145" t="s">
        <v>203</v>
      </c>
      <c r="O20" s="94"/>
    </row>
    <row r="21" spans="1:790" ht="27.6" customHeight="1" x14ac:dyDescent="0.45">
      <c r="A21" s="150"/>
      <c r="B21" s="253"/>
      <c r="C21" s="253"/>
      <c r="D21" s="30" t="s">
        <v>32</v>
      </c>
      <c r="E21" s="138">
        <v>6000</v>
      </c>
      <c r="F21" s="143">
        <v>12367</v>
      </c>
      <c r="G21" s="96">
        <v>0</v>
      </c>
      <c r="H21" s="138">
        <f t="shared" si="0"/>
        <v>6000</v>
      </c>
      <c r="I21" s="137">
        <f t="shared" si="1"/>
        <v>0</v>
      </c>
      <c r="J21" s="138"/>
      <c r="K21" s="9" t="s">
        <v>19</v>
      </c>
      <c r="L21" s="10" t="s">
        <v>20</v>
      </c>
      <c r="M21" s="10" t="s">
        <v>33</v>
      </c>
      <c r="N21" s="145" t="s">
        <v>203</v>
      </c>
      <c r="O21" s="94"/>
    </row>
    <row r="22" spans="1:790" ht="28.8" customHeight="1" x14ac:dyDescent="0.45">
      <c r="A22" s="150"/>
      <c r="B22" s="253"/>
      <c r="C22" s="253"/>
      <c r="D22" s="8" t="s">
        <v>34</v>
      </c>
      <c r="E22" s="138">
        <v>25000</v>
      </c>
      <c r="F22" s="142">
        <f>23221.81*2</f>
        <v>46443.62</v>
      </c>
      <c r="G22" s="96">
        <v>0</v>
      </c>
      <c r="H22" s="138">
        <f t="shared" si="0"/>
        <v>25000</v>
      </c>
      <c r="I22" s="137">
        <f t="shared" si="1"/>
        <v>0</v>
      </c>
      <c r="J22" s="138"/>
      <c r="K22" s="9" t="s">
        <v>19</v>
      </c>
      <c r="L22" s="10" t="s">
        <v>20</v>
      </c>
      <c r="M22" s="9" t="s">
        <v>35</v>
      </c>
      <c r="N22" s="145" t="s">
        <v>144</v>
      </c>
      <c r="O22" s="94"/>
    </row>
    <row r="23" spans="1:790" ht="30.6" customHeight="1" x14ac:dyDescent="0.45">
      <c r="A23" s="150"/>
      <c r="B23" s="253"/>
      <c r="C23" s="253"/>
      <c r="D23" s="116" t="s">
        <v>36</v>
      </c>
      <c r="E23" s="134">
        <v>3000</v>
      </c>
      <c r="F23" s="101">
        <v>2200</v>
      </c>
      <c r="G23" s="135">
        <v>0</v>
      </c>
      <c r="H23" s="138">
        <f t="shared" si="0"/>
        <v>3000</v>
      </c>
      <c r="I23" s="137">
        <f t="shared" si="1"/>
        <v>0</v>
      </c>
      <c r="J23" s="134"/>
      <c r="K23" s="14" t="s">
        <v>19</v>
      </c>
      <c r="L23" s="15" t="s">
        <v>20</v>
      </c>
      <c r="M23" s="14" t="s">
        <v>35</v>
      </c>
      <c r="N23" s="145" t="s">
        <v>144</v>
      </c>
      <c r="O23" s="94"/>
    </row>
    <row r="24" spans="1:790" ht="24.6" customHeight="1" x14ac:dyDescent="0.45">
      <c r="A24" s="150"/>
      <c r="B24" s="253"/>
      <c r="C24" s="253"/>
      <c r="D24" s="116" t="s">
        <v>213</v>
      </c>
      <c r="E24" s="134">
        <v>0</v>
      </c>
      <c r="F24" s="101"/>
      <c r="G24" s="135">
        <v>1515</v>
      </c>
      <c r="H24" s="138">
        <f t="shared" si="0"/>
        <v>-1515</v>
      </c>
      <c r="I24" s="137">
        <v>0</v>
      </c>
      <c r="J24" s="134"/>
      <c r="K24" s="14" t="s">
        <v>19</v>
      </c>
      <c r="L24" s="15" t="s">
        <v>20</v>
      </c>
      <c r="M24" s="14" t="s">
        <v>202</v>
      </c>
      <c r="N24" s="145" t="s">
        <v>144</v>
      </c>
      <c r="O24" s="94"/>
    </row>
    <row r="25" spans="1:790" ht="26.45" customHeight="1" x14ac:dyDescent="0.45">
      <c r="A25" s="150"/>
      <c r="B25" s="253"/>
      <c r="C25" s="253"/>
      <c r="D25" s="116" t="s">
        <v>221</v>
      </c>
      <c r="E25" s="134"/>
      <c r="F25" s="101"/>
      <c r="G25" s="135">
        <v>-38</v>
      </c>
      <c r="H25" s="138"/>
      <c r="I25" s="137"/>
      <c r="J25" s="134"/>
      <c r="K25" s="14" t="s">
        <v>19</v>
      </c>
      <c r="L25" s="15" t="s">
        <v>20</v>
      </c>
      <c r="M25" s="14" t="s">
        <v>222</v>
      </c>
      <c r="N25" s="145"/>
      <c r="O25" s="94"/>
    </row>
    <row r="26" spans="1:790" ht="34.25" customHeight="1" x14ac:dyDescent="0.45">
      <c r="A26" s="150"/>
      <c r="B26" s="253"/>
      <c r="C26" s="253"/>
      <c r="D26" s="116" t="s">
        <v>220</v>
      </c>
      <c r="E26" s="134">
        <v>0</v>
      </c>
      <c r="F26" s="101">
        <v>70</v>
      </c>
      <c r="G26" s="135"/>
      <c r="H26" s="138">
        <f t="shared" ref="H26" si="2">+E26-G26</f>
        <v>0</v>
      </c>
      <c r="I26" s="137">
        <v>0</v>
      </c>
      <c r="J26" s="134"/>
      <c r="K26" s="14" t="s">
        <v>19</v>
      </c>
      <c r="L26" s="15" t="s">
        <v>20</v>
      </c>
      <c r="M26" s="14" t="s">
        <v>202</v>
      </c>
      <c r="N26" s="145" t="s">
        <v>144</v>
      </c>
      <c r="O26" s="94"/>
    </row>
    <row r="27" spans="1:790" ht="27" customHeight="1" x14ac:dyDescent="0.45">
      <c r="A27" s="117" t="s">
        <v>37</v>
      </c>
      <c r="B27" s="117"/>
      <c r="C27" s="117"/>
      <c r="D27" s="117"/>
      <c r="E27" s="117">
        <f>SUM(E13:E26)</f>
        <v>59474.406999999999</v>
      </c>
      <c r="F27" s="117">
        <f t="shared" ref="F27:M27" si="3">SUM(F13:F26)</f>
        <v>72460.028000000006</v>
      </c>
      <c r="G27" s="117">
        <f t="shared" si="3"/>
        <v>3850</v>
      </c>
      <c r="H27" s="117">
        <f t="shared" si="3"/>
        <v>55586.406999999999</v>
      </c>
      <c r="I27" s="117">
        <f t="shared" si="3"/>
        <v>0.55266666666666664</v>
      </c>
      <c r="J27" s="117">
        <f t="shared" si="3"/>
        <v>0</v>
      </c>
      <c r="K27" s="117">
        <f t="shared" si="3"/>
        <v>0</v>
      </c>
      <c r="L27" s="117">
        <f t="shared" si="3"/>
        <v>0</v>
      </c>
      <c r="M27" s="117">
        <f t="shared" si="3"/>
        <v>0</v>
      </c>
      <c r="N27" s="145"/>
      <c r="O27" s="94"/>
    </row>
    <row r="28" spans="1:790" ht="57.6" customHeight="1" x14ac:dyDescent="0.45">
      <c r="A28" s="150"/>
      <c r="B28" s="16" t="s">
        <v>38</v>
      </c>
      <c r="C28" s="16" t="s">
        <v>39</v>
      </c>
      <c r="D28" s="252" t="s">
        <v>40</v>
      </c>
      <c r="E28" s="138">
        <v>1000</v>
      </c>
      <c r="F28" s="153">
        <v>0</v>
      </c>
      <c r="G28" s="96"/>
      <c r="H28" s="138">
        <f t="shared" si="0"/>
        <v>1000</v>
      </c>
      <c r="I28" s="249">
        <f t="shared" si="1"/>
        <v>0</v>
      </c>
      <c r="J28" s="138"/>
      <c r="K28" s="246" t="s">
        <v>19</v>
      </c>
      <c r="L28" s="236">
        <v>11363</v>
      </c>
      <c r="M28" s="246" t="s">
        <v>26</v>
      </c>
      <c r="N28" s="145" t="s">
        <v>144</v>
      </c>
      <c r="O28" s="94"/>
    </row>
    <row r="29" spans="1:790" ht="78" customHeight="1" x14ac:dyDescent="0.45">
      <c r="A29" s="150"/>
      <c r="B29" s="16" t="s">
        <v>41</v>
      </c>
      <c r="C29" s="16" t="s">
        <v>42</v>
      </c>
      <c r="D29" s="252"/>
      <c r="E29" s="138"/>
      <c r="F29" s="153"/>
      <c r="G29" s="96"/>
      <c r="H29" s="138"/>
      <c r="I29" s="249"/>
      <c r="J29" s="138"/>
      <c r="K29" s="246"/>
      <c r="L29" s="236"/>
      <c r="M29" s="246"/>
      <c r="N29" s="145" t="s">
        <v>144</v>
      </c>
      <c r="O29" s="94"/>
    </row>
    <row r="30" spans="1:790" ht="87.6" customHeight="1" x14ac:dyDescent="0.45">
      <c r="A30" s="150"/>
      <c r="B30" s="16" t="s">
        <v>43</v>
      </c>
      <c r="C30" s="8" t="s">
        <v>44</v>
      </c>
      <c r="D30" s="252"/>
      <c r="E30" s="138"/>
      <c r="F30" s="153"/>
      <c r="G30" s="96"/>
      <c r="H30" s="138"/>
      <c r="I30" s="249"/>
      <c r="J30" s="138"/>
      <c r="K30" s="246"/>
      <c r="L30" s="236"/>
      <c r="M30" s="246"/>
      <c r="N30" s="145" t="s">
        <v>144</v>
      </c>
      <c r="O30" s="94"/>
    </row>
    <row r="31" spans="1:790" s="17" customFormat="1" ht="25.8" customHeight="1" x14ac:dyDescent="0.45">
      <c r="A31" s="150"/>
      <c r="B31" s="154" t="s">
        <v>45</v>
      </c>
      <c r="C31" s="154"/>
      <c r="D31" s="154"/>
      <c r="E31" s="154">
        <f>SUM(E28:E30)</f>
        <v>1000</v>
      </c>
      <c r="F31" s="155">
        <f t="shared" ref="F31:G31" si="4">SUM(F28:F30)</f>
        <v>0</v>
      </c>
      <c r="G31" s="156">
        <f t="shared" si="4"/>
        <v>0</v>
      </c>
      <c r="H31" s="154">
        <f>SUM(H28:H30)</f>
        <v>1000</v>
      </c>
      <c r="I31" s="154">
        <f t="shared" si="1"/>
        <v>0</v>
      </c>
      <c r="J31" s="154"/>
      <c r="K31" s="154"/>
      <c r="L31" s="154"/>
      <c r="M31" s="154"/>
      <c r="N31" s="146"/>
      <c r="O31" s="95"/>
    </row>
    <row r="32" spans="1:790" ht="24.6" customHeight="1" x14ac:dyDescent="0.45">
      <c r="A32" s="150"/>
      <c r="B32" s="119" t="s">
        <v>46</v>
      </c>
      <c r="C32" s="119"/>
      <c r="D32" s="119"/>
      <c r="E32" s="119">
        <f>E31+E27</f>
        <v>60474.406999999999</v>
      </c>
      <c r="F32" s="157">
        <f t="shared" ref="F32:H32" si="5">F31+F27</f>
        <v>72460.028000000006</v>
      </c>
      <c r="G32" s="120">
        <f t="shared" si="5"/>
        <v>3850</v>
      </c>
      <c r="H32" s="119">
        <f t="shared" si="5"/>
        <v>56586.406999999999</v>
      </c>
      <c r="I32" s="119">
        <f t="shared" si="1"/>
        <v>6.3663294788487965E-2</v>
      </c>
      <c r="J32" s="119"/>
      <c r="K32" s="119"/>
      <c r="L32" s="119"/>
      <c r="M32" s="119"/>
      <c r="N32" s="145"/>
      <c r="O32" s="94"/>
    </row>
    <row r="33" spans="1:15" ht="23.45" customHeight="1" x14ac:dyDescent="0.45">
      <c r="A33" s="150"/>
      <c r="B33" s="243" t="s">
        <v>47</v>
      </c>
      <c r="C33" s="243"/>
      <c r="D33" s="243"/>
      <c r="E33" s="243"/>
      <c r="F33" s="243"/>
      <c r="G33" s="243"/>
      <c r="H33" s="243"/>
      <c r="I33" s="243"/>
      <c r="J33" s="243"/>
      <c r="K33" s="243"/>
      <c r="L33" s="243"/>
      <c r="M33" s="243"/>
      <c r="N33" s="145"/>
      <c r="O33" s="94"/>
    </row>
    <row r="34" spans="1:15" ht="71.45" customHeight="1" x14ac:dyDescent="0.45">
      <c r="A34" s="150"/>
      <c r="B34" s="16" t="s">
        <v>48</v>
      </c>
      <c r="C34" s="16" t="s">
        <v>49</v>
      </c>
      <c r="D34" s="16" t="s">
        <v>50</v>
      </c>
      <c r="E34" s="140">
        <v>71250</v>
      </c>
      <c r="F34" s="105"/>
      <c r="G34" s="96">
        <f>57264+30924+7625+7129+716+6020</f>
        <v>109678</v>
      </c>
      <c r="H34" s="140">
        <f>E34-G34</f>
        <v>-38428</v>
      </c>
      <c r="I34" s="137">
        <f t="shared" si="1"/>
        <v>1.539340350877193</v>
      </c>
      <c r="J34" s="140"/>
      <c r="K34" s="139" t="s">
        <v>19</v>
      </c>
      <c r="L34" s="141" t="s">
        <v>20</v>
      </c>
      <c r="M34" s="141" t="s">
        <v>51</v>
      </c>
      <c r="N34" s="145" t="s">
        <v>138</v>
      </c>
      <c r="O34" s="94"/>
    </row>
    <row r="35" spans="1:15" ht="103.25" customHeight="1" x14ac:dyDescent="0.45">
      <c r="A35" s="150"/>
      <c r="B35" s="8" t="s">
        <v>52</v>
      </c>
      <c r="C35" s="8" t="s">
        <v>53</v>
      </c>
      <c r="D35" s="11" t="s">
        <v>54</v>
      </c>
      <c r="E35" s="138">
        <v>1000</v>
      </c>
      <c r="F35" s="118"/>
      <c r="G35" s="96"/>
      <c r="H35" s="247">
        <f t="shared" ref="H35" si="6">E35-G35</f>
        <v>1000</v>
      </c>
      <c r="I35" s="249">
        <f t="shared" si="1"/>
        <v>0</v>
      </c>
      <c r="J35" s="250"/>
      <c r="K35" s="251" t="s">
        <v>19</v>
      </c>
      <c r="L35" s="239" t="s">
        <v>20</v>
      </c>
      <c r="M35" s="9" t="s">
        <v>26</v>
      </c>
      <c r="N35" s="145" t="s">
        <v>144</v>
      </c>
      <c r="O35" s="94"/>
    </row>
    <row r="36" spans="1:15" ht="73.8" customHeight="1" x14ac:dyDescent="0.45">
      <c r="A36" s="150"/>
      <c r="B36" s="18" t="s">
        <v>55</v>
      </c>
      <c r="C36" s="18" t="s">
        <v>56</v>
      </c>
      <c r="D36" s="11"/>
      <c r="E36" s="138"/>
      <c r="F36" s="118"/>
      <c r="G36" s="96"/>
      <c r="H36" s="247"/>
      <c r="I36" s="249"/>
      <c r="J36" s="250"/>
      <c r="K36" s="251"/>
      <c r="L36" s="239"/>
      <c r="M36" s="9"/>
      <c r="N36" s="145" t="s">
        <v>144</v>
      </c>
      <c r="O36" s="94"/>
    </row>
    <row r="37" spans="1:15" ht="111.6" customHeight="1" x14ac:dyDescent="0.45">
      <c r="A37" s="150"/>
      <c r="B37" s="19" t="s">
        <v>57</v>
      </c>
      <c r="C37" s="19" t="s">
        <v>209</v>
      </c>
      <c r="D37" s="7"/>
      <c r="E37" s="138"/>
      <c r="F37" s="118"/>
      <c r="G37" s="96"/>
      <c r="H37" s="247"/>
      <c r="I37" s="249"/>
      <c r="J37" s="250"/>
      <c r="K37" s="251"/>
      <c r="L37" s="239"/>
      <c r="M37" s="9"/>
      <c r="N37" s="145" t="s">
        <v>144</v>
      </c>
      <c r="O37" s="94"/>
    </row>
    <row r="38" spans="1:15" ht="22.25" customHeight="1" x14ac:dyDescent="0.45">
      <c r="A38" s="150"/>
      <c r="B38" s="119" t="s">
        <v>58</v>
      </c>
      <c r="C38" s="119"/>
      <c r="D38" s="119"/>
      <c r="E38" s="119">
        <f>SUM(E34:E37)</f>
        <v>72250</v>
      </c>
      <c r="F38" s="119">
        <f t="shared" ref="F38:H38" si="7">SUM(F34:F37)</f>
        <v>0</v>
      </c>
      <c r="G38" s="120">
        <f t="shared" si="7"/>
        <v>109678</v>
      </c>
      <c r="H38" s="119">
        <f t="shared" si="7"/>
        <v>-37428</v>
      </c>
      <c r="I38" s="121">
        <f t="shared" si="1"/>
        <v>1.5180346020761246</v>
      </c>
      <c r="J38" s="119"/>
      <c r="K38" s="119"/>
      <c r="L38" s="119"/>
      <c r="M38" s="119"/>
      <c r="N38" s="145"/>
      <c r="O38" s="94"/>
    </row>
    <row r="39" spans="1:15" ht="21.6" customHeight="1" x14ac:dyDescent="0.45">
      <c r="A39" s="150"/>
      <c r="B39" s="256" t="s">
        <v>59</v>
      </c>
      <c r="C39" s="256"/>
      <c r="D39" s="256"/>
      <c r="E39" s="256"/>
      <c r="F39" s="256"/>
      <c r="G39" s="256"/>
      <c r="H39" s="256"/>
      <c r="I39" s="256"/>
      <c r="J39" s="256"/>
      <c r="K39" s="256"/>
      <c r="L39" s="256"/>
      <c r="M39" s="256"/>
      <c r="N39" s="145"/>
      <c r="O39" s="94"/>
    </row>
    <row r="40" spans="1:15" ht="47.45" customHeight="1" x14ac:dyDescent="0.45">
      <c r="A40" s="150"/>
      <c r="B40" s="255" t="s">
        <v>60</v>
      </c>
      <c r="C40" s="136" t="s">
        <v>61</v>
      </c>
      <c r="D40" s="136" t="s">
        <v>62</v>
      </c>
      <c r="E40" s="122">
        <f>(47613-14400)</f>
        <v>33213</v>
      </c>
      <c r="F40" s="123">
        <f>2767.75*7</f>
        <v>19374.25</v>
      </c>
      <c r="G40" s="124">
        <v>12071</v>
      </c>
      <c r="H40" s="122">
        <f>E40-G40</f>
        <v>21142</v>
      </c>
      <c r="I40" s="137">
        <f t="shared" si="1"/>
        <v>0.3634420257128233</v>
      </c>
      <c r="J40" s="122"/>
      <c r="K40" s="125" t="s">
        <v>19</v>
      </c>
      <c r="L40" s="126" t="s">
        <v>20</v>
      </c>
      <c r="M40" s="126" t="s">
        <v>63</v>
      </c>
      <c r="N40" s="145" t="s">
        <v>138</v>
      </c>
      <c r="O40" s="94"/>
    </row>
    <row r="41" spans="1:15" ht="43.8" customHeight="1" x14ac:dyDescent="0.45">
      <c r="A41" s="150"/>
      <c r="B41" s="255"/>
      <c r="C41" s="136" t="s">
        <v>211</v>
      </c>
      <c r="D41" s="136" t="s">
        <v>212</v>
      </c>
      <c r="E41" s="122">
        <v>0</v>
      </c>
      <c r="F41" s="144">
        <v>1555</v>
      </c>
      <c r="G41" s="124">
        <v>2335</v>
      </c>
      <c r="H41" s="122">
        <f>E41-G41</f>
        <v>-2335</v>
      </c>
      <c r="I41" s="137">
        <v>0</v>
      </c>
      <c r="J41" s="122"/>
      <c r="K41" s="125" t="s">
        <v>19</v>
      </c>
      <c r="L41" s="126" t="s">
        <v>20</v>
      </c>
      <c r="M41" s="126" t="s">
        <v>210</v>
      </c>
      <c r="N41" s="145" t="s">
        <v>141</v>
      </c>
      <c r="O41" s="94"/>
    </row>
    <row r="42" spans="1:15" ht="42" customHeight="1" x14ac:dyDescent="0.45">
      <c r="A42" s="150"/>
      <c r="B42" s="255"/>
      <c r="C42" s="136" t="s">
        <v>64</v>
      </c>
      <c r="D42" s="136" t="s">
        <v>62</v>
      </c>
      <c r="E42" s="122">
        <f>14400</f>
        <v>14400</v>
      </c>
      <c r="F42" s="123">
        <f>1200*6</f>
        <v>7200</v>
      </c>
      <c r="G42" s="124"/>
      <c r="H42" s="122">
        <f>E42-G42</f>
        <v>14400</v>
      </c>
      <c r="I42" s="137">
        <f t="shared" si="1"/>
        <v>0</v>
      </c>
      <c r="J42" s="122">
        <f>+G46-136869</f>
        <v>0</v>
      </c>
      <c r="K42" s="125" t="s">
        <v>19</v>
      </c>
      <c r="L42" s="126" t="s">
        <v>20</v>
      </c>
      <c r="M42" s="126" t="s">
        <v>63</v>
      </c>
      <c r="N42" s="145" t="s">
        <v>138</v>
      </c>
      <c r="O42" s="94"/>
    </row>
    <row r="43" spans="1:15" ht="29.45" customHeight="1" x14ac:dyDescent="0.45">
      <c r="A43" s="150"/>
      <c r="B43" s="233" t="s">
        <v>65</v>
      </c>
      <c r="C43" s="233"/>
      <c r="D43" s="233"/>
      <c r="E43" s="119">
        <f>SUM(E40:E42)</f>
        <v>47613</v>
      </c>
      <c r="F43" s="157">
        <f>SUM(F40:F42)</f>
        <v>28129.25</v>
      </c>
      <c r="G43" s="120">
        <f t="shared" ref="G43" si="8">SUM(G40:G42)</f>
        <v>14406</v>
      </c>
      <c r="H43" s="119">
        <f>SUM(H40:H42)</f>
        <v>33207</v>
      </c>
      <c r="I43" s="121">
        <f t="shared" si="1"/>
        <v>0.3025644256820616</v>
      </c>
      <c r="J43" s="119"/>
      <c r="K43" s="119"/>
      <c r="L43" s="119"/>
      <c r="M43" s="119"/>
      <c r="N43" s="145"/>
      <c r="O43" s="94"/>
    </row>
    <row r="44" spans="1:15" ht="23.45" customHeight="1" x14ac:dyDescent="0.45">
      <c r="A44" s="150"/>
      <c r="B44" s="232" t="s">
        <v>66</v>
      </c>
      <c r="C44" s="232"/>
      <c r="D44" s="232"/>
      <c r="E44" s="158">
        <f>E43+E38+E32</f>
        <v>180337.40700000001</v>
      </c>
      <c r="F44" s="159">
        <f t="shared" ref="F44:G44" si="9">F43+F38+F32</f>
        <v>100589.27800000001</v>
      </c>
      <c r="G44" s="160">
        <f t="shared" si="9"/>
        <v>127934</v>
      </c>
      <c r="H44" s="158">
        <f t="shared" ref="H44" si="10">H43+H38+H32</f>
        <v>52365.406999999999</v>
      </c>
      <c r="I44" s="161">
        <f t="shared" si="1"/>
        <v>0.7094146584906813</v>
      </c>
      <c r="J44" s="158"/>
      <c r="K44" s="158"/>
      <c r="L44" s="158"/>
      <c r="M44" s="158"/>
      <c r="N44" s="145"/>
      <c r="O44" s="94"/>
    </row>
    <row r="45" spans="1:15" ht="25.8" customHeight="1" x14ac:dyDescent="0.45">
      <c r="A45" s="150"/>
      <c r="B45" s="241" t="s">
        <v>67</v>
      </c>
      <c r="C45" s="241"/>
      <c r="D45" s="241"/>
      <c r="E45" s="32">
        <f>E44*7%</f>
        <v>12623.618490000003</v>
      </c>
      <c r="F45" s="162">
        <f t="shared" ref="F45" si="11">F44*7%</f>
        <v>7041.2494600000009</v>
      </c>
      <c r="G45" s="163">
        <v>8935</v>
      </c>
      <c r="H45" s="32">
        <f>+E45-G45</f>
        <v>3688.6184900000026</v>
      </c>
      <c r="I45" s="164">
        <f t="shared" si="1"/>
        <v>0.70780022440301094</v>
      </c>
      <c r="J45" s="32"/>
      <c r="K45" s="32" t="s">
        <v>19</v>
      </c>
      <c r="L45" s="32" t="s">
        <v>20</v>
      </c>
      <c r="M45" s="165">
        <v>75100</v>
      </c>
      <c r="N45" s="145"/>
      <c r="O45" s="94"/>
    </row>
    <row r="46" spans="1:15" ht="28.25" customHeight="1" thickBot="1" x14ac:dyDescent="0.5">
      <c r="A46" s="150"/>
      <c r="B46" s="240" t="s">
        <v>68</v>
      </c>
      <c r="C46" s="240"/>
      <c r="D46" s="240"/>
      <c r="E46" s="166">
        <f>+E44+E45</f>
        <v>192961.02549</v>
      </c>
      <c r="F46" s="167">
        <f t="shared" ref="F46:G46" si="12">+F44+F45</f>
        <v>107630.52746000001</v>
      </c>
      <c r="G46" s="168">
        <f t="shared" si="12"/>
        <v>136869</v>
      </c>
      <c r="H46" s="166">
        <f t="shared" ref="H46" si="13">+H44+H45</f>
        <v>56054.02549</v>
      </c>
      <c r="I46" s="169">
        <f t="shared" si="1"/>
        <v>0.70930904130737582</v>
      </c>
      <c r="J46" s="166"/>
      <c r="K46" s="166"/>
      <c r="L46" s="166"/>
      <c r="M46" s="166"/>
      <c r="N46" s="147"/>
      <c r="O46" s="94"/>
    </row>
    <row r="47" spans="1:15" ht="23.45" customHeight="1" x14ac:dyDescent="0.45">
      <c r="A47" s="238" t="s">
        <v>13</v>
      </c>
      <c r="B47" s="238" t="s">
        <v>14</v>
      </c>
      <c r="C47" s="239" t="s">
        <v>0</v>
      </c>
      <c r="D47" s="239"/>
      <c r="E47" s="230" t="s">
        <v>10</v>
      </c>
      <c r="F47" s="230" t="s">
        <v>204</v>
      </c>
      <c r="G47" s="231" t="s">
        <v>205</v>
      </c>
      <c r="H47" s="230" t="s">
        <v>11</v>
      </c>
      <c r="I47" s="254" t="s">
        <v>201</v>
      </c>
      <c r="J47" s="238" t="s">
        <v>199</v>
      </c>
      <c r="K47" s="170" t="s">
        <v>12</v>
      </c>
      <c r="L47" s="170"/>
      <c r="M47" s="170"/>
      <c r="N47" s="148"/>
      <c r="O47" s="94"/>
    </row>
    <row r="48" spans="1:15" ht="18" customHeight="1" x14ac:dyDescent="0.45">
      <c r="A48" s="238"/>
      <c r="B48" s="238"/>
      <c r="C48" s="239"/>
      <c r="D48" s="239"/>
      <c r="E48" s="230"/>
      <c r="F48" s="230"/>
      <c r="G48" s="231"/>
      <c r="H48" s="230"/>
      <c r="I48" s="254"/>
      <c r="J48" s="238"/>
      <c r="K48" s="87" t="s">
        <v>200</v>
      </c>
      <c r="L48" s="87" t="s">
        <v>69</v>
      </c>
      <c r="M48" s="87" t="s">
        <v>70</v>
      </c>
      <c r="N48" s="145"/>
      <c r="O48" s="94"/>
    </row>
    <row r="49" spans="1:15" ht="23.45" customHeight="1" x14ac:dyDescent="0.45">
      <c r="A49" s="232" t="s">
        <v>71</v>
      </c>
      <c r="B49" s="232"/>
      <c r="C49" s="232"/>
      <c r="D49" s="232"/>
      <c r="E49" s="232"/>
      <c r="F49" s="232"/>
      <c r="G49" s="232"/>
      <c r="H49" s="232"/>
      <c r="I49" s="232"/>
      <c r="J49" s="232"/>
      <c r="K49" s="232"/>
      <c r="L49" s="232"/>
      <c r="M49" s="232"/>
      <c r="N49" s="145"/>
      <c r="O49" s="94"/>
    </row>
    <row r="50" spans="1:15" ht="25.25" customHeight="1" x14ac:dyDescent="0.45">
      <c r="A50" s="16"/>
      <c r="B50" s="243" t="s">
        <v>72</v>
      </c>
      <c r="C50" s="243"/>
      <c r="D50" s="243"/>
      <c r="E50" s="243"/>
      <c r="F50" s="243"/>
      <c r="G50" s="243"/>
      <c r="H50" s="243"/>
      <c r="I50" s="243"/>
      <c r="J50" s="243"/>
      <c r="K50" s="243"/>
      <c r="L50" s="243"/>
      <c r="M50" s="243"/>
      <c r="N50" s="145"/>
      <c r="O50" s="94"/>
    </row>
    <row r="51" spans="1:15" ht="61.25" customHeight="1" x14ac:dyDescent="0.45">
      <c r="A51" s="16"/>
      <c r="B51" s="171" t="s">
        <v>73</v>
      </c>
      <c r="C51" s="8" t="s">
        <v>74</v>
      </c>
      <c r="D51" s="20" t="s">
        <v>75</v>
      </c>
      <c r="E51" s="140">
        <f>60069</f>
        <v>60069</v>
      </c>
      <c r="F51" s="101">
        <f>4800*1</f>
        <v>4800</v>
      </c>
      <c r="G51" s="96">
        <v>32484</v>
      </c>
      <c r="H51" s="140">
        <f>E51-G51</f>
        <v>27585</v>
      </c>
      <c r="I51" s="137">
        <f>+G51/E51</f>
        <v>0.54077810517904412</v>
      </c>
      <c r="J51" s="140"/>
      <c r="K51" s="21" t="s">
        <v>19</v>
      </c>
      <c r="L51" s="22" t="s">
        <v>20</v>
      </c>
      <c r="M51" s="20">
        <v>71400</v>
      </c>
      <c r="N51" s="145" t="s">
        <v>138</v>
      </c>
      <c r="O51" s="94"/>
    </row>
    <row r="52" spans="1:15" ht="51.6" customHeight="1" x14ac:dyDescent="0.45">
      <c r="A52" s="16"/>
      <c r="B52" s="16" t="s">
        <v>76</v>
      </c>
      <c r="C52" s="16" t="s">
        <v>77</v>
      </c>
      <c r="D52" s="16" t="s">
        <v>78</v>
      </c>
      <c r="E52" s="138">
        <v>7000</v>
      </c>
      <c r="F52" s="101">
        <v>0</v>
      </c>
      <c r="G52" s="96"/>
      <c r="H52" s="140">
        <f t="shared" ref="H52:H63" si="14">E52-G52</f>
        <v>7000</v>
      </c>
      <c r="I52" s="137">
        <f t="shared" ref="I52:I79" si="15">+G52/E52</f>
        <v>0</v>
      </c>
      <c r="J52" s="138"/>
      <c r="K52" s="14" t="s">
        <v>19</v>
      </c>
      <c r="L52" s="15" t="s">
        <v>20</v>
      </c>
      <c r="M52" s="131">
        <v>75700</v>
      </c>
      <c r="N52" s="145" t="s">
        <v>144</v>
      </c>
      <c r="O52" s="94"/>
    </row>
    <row r="53" spans="1:15" ht="0.6" customHeight="1" x14ac:dyDescent="0.45">
      <c r="A53" s="16"/>
      <c r="B53" s="16"/>
      <c r="C53" s="16"/>
      <c r="D53" s="127" t="s">
        <v>79</v>
      </c>
      <c r="E53" s="128"/>
      <c r="F53" s="129"/>
      <c r="G53" s="130"/>
      <c r="H53" s="140">
        <f t="shared" si="14"/>
        <v>0</v>
      </c>
      <c r="I53" s="137" t="e">
        <f t="shared" si="15"/>
        <v>#DIV/0!</v>
      </c>
      <c r="J53" s="128"/>
      <c r="K53" s="14" t="s">
        <v>19</v>
      </c>
      <c r="L53" s="15" t="s">
        <v>20</v>
      </c>
      <c r="M53" s="127"/>
      <c r="N53" s="145"/>
      <c r="O53" s="94"/>
    </row>
    <row r="54" spans="1:15" ht="19.25" hidden="1" customHeight="1" x14ac:dyDescent="0.45">
      <c r="A54" s="16"/>
      <c r="B54" s="16"/>
      <c r="C54" s="16"/>
      <c r="D54" s="172" t="s">
        <v>80</v>
      </c>
      <c r="E54" s="128"/>
      <c r="F54" s="129"/>
      <c r="G54" s="130"/>
      <c r="H54" s="140">
        <f t="shared" si="14"/>
        <v>0</v>
      </c>
      <c r="I54" s="137" t="e">
        <f t="shared" si="15"/>
        <v>#DIV/0!</v>
      </c>
      <c r="J54" s="128"/>
      <c r="K54" s="14" t="s">
        <v>19</v>
      </c>
      <c r="L54" s="15" t="s">
        <v>20</v>
      </c>
      <c r="M54" s="16"/>
      <c r="N54" s="145"/>
      <c r="O54" s="94"/>
    </row>
    <row r="55" spans="1:15" ht="33.6" customHeight="1" x14ac:dyDescent="0.45">
      <c r="A55" s="16"/>
      <c r="B55" s="16"/>
      <c r="C55" s="16"/>
      <c r="D55" s="172" t="s">
        <v>81</v>
      </c>
      <c r="E55" s="128">
        <v>25000</v>
      </c>
      <c r="F55" s="129"/>
      <c r="G55" s="130">
        <v>14940</v>
      </c>
      <c r="H55" s="140">
        <f t="shared" si="14"/>
        <v>10060</v>
      </c>
      <c r="I55" s="137">
        <f t="shared" si="15"/>
        <v>0.59760000000000002</v>
      </c>
      <c r="J55" s="128"/>
      <c r="K55" s="14" t="s">
        <v>19</v>
      </c>
      <c r="L55" s="15" t="s">
        <v>20</v>
      </c>
      <c r="M55" s="16">
        <v>71200</v>
      </c>
      <c r="N55" s="145" t="s">
        <v>141</v>
      </c>
      <c r="O55" s="94"/>
    </row>
    <row r="56" spans="1:15" ht="54.6" customHeight="1" x14ac:dyDescent="0.45">
      <c r="A56" s="16"/>
      <c r="B56" s="20" t="s">
        <v>82</v>
      </c>
      <c r="C56" s="20" t="s">
        <v>83</v>
      </c>
      <c r="D56" s="23" t="s">
        <v>84</v>
      </c>
      <c r="E56" s="24"/>
      <c r="F56" s="24"/>
      <c r="G56" s="99"/>
      <c r="H56" s="140">
        <f t="shared" si="14"/>
        <v>0</v>
      </c>
      <c r="I56" s="137">
        <v>0</v>
      </c>
      <c r="J56" s="24"/>
      <c r="K56" s="21" t="s">
        <v>19</v>
      </c>
      <c r="L56" s="22" t="s">
        <v>20</v>
      </c>
      <c r="M56" s="20"/>
      <c r="N56" s="145"/>
      <c r="O56" s="94"/>
    </row>
    <row r="57" spans="1:15" ht="119.45" customHeight="1" x14ac:dyDescent="0.45">
      <c r="A57" s="16"/>
      <c r="B57" s="8" t="s">
        <v>85</v>
      </c>
      <c r="C57" s="8" t="s">
        <v>86</v>
      </c>
      <c r="D57" s="8" t="s">
        <v>87</v>
      </c>
      <c r="E57" s="13">
        <v>5000</v>
      </c>
      <c r="F57" s="106">
        <v>0</v>
      </c>
      <c r="G57" s="97"/>
      <c r="H57" s="140">
        <f t="shared" si="14"/>
        <v>5000</v>
      </c>
      <c r="I57" s="137">
        <f t="shared" si="15"/>
        <v>0</v>
      </c>
      <c r="J57" s="13"/>
      <c r="K57" s="9" t="s">
        <v>19</v>
      </c>
      <c r="L57" s="10" t="s">
        <v>20</v>
      </c>
      <c r="M57" s="131">
        <v>75700</v>
      </c>
      <c r="N57" s="145" t="s">
        <v>144</v>
      </c>
      <c r="O57" s="94"/>
    </row>
    <row r="58" spans="1:15" ht="73.8" customHeight="1" x14ac:dyDescent="0.45">
      <c r="A58" s="16"/>
      <c r="B58" s="8"/>
      <c r="C58" s="8" t="s">
        <v>88</v>
      </c>
      <c r="D58" s="8" t="s">
        <v>89</v>
      </c>
      <c r="E58" s="13">
        <v>10000</v>
      </c>
      <c r="F58" s="106">
        <v>9156</v>
      </c>
      <c r="G58" s="97">
        <v>5927</v>
      </c>
      <c r="H58" s="140">
        <f t="shared" si="14"/>
        <v>4073</v>
      </c>
      <c r="I58" s="137">
        <f t="shared" si="15"/>
        <v>0.5927</v>
      </c>
      <c r="J58" s="13"/>
      <c r="K58" s="9" t="s">
        <v>19</v>
      </c>
      <c r="L58" s="10" t="s">
        <v>20</v>
      </c>
      <c r="M58" s="131">
        <v>71300</v>
      </c>
      <c r="N58" s="145" t="s">
        <v>141</v>
      </c>
      <c r="O58" s="94"/>
    </row>
    <row r="59" spans="1:15" ht="36.6" customHeight="1" x14ac:dyDescent="0.45">
      <c r="A59" s="16"/>
      <c r="B59" s="236" t="s">
        <v>216</v>
      </c>
      <c r="C59" s="237" t="s">
        <v>90</v>
      </c>
      <c r="D59" s="16" t="s">
        <v>91</v>
      </c>
      <c r="E59" s="25">
        <v>28495.16</v>
      </c>
      <c r="F59" s="106">
        <v>20000</v>
      </c>
      <c r="G59" s="97"/>
      <c r="H59" s="140">
        <f t="shared" si="14"/>
        <v>28495.16</v>
      </c>
      <c r="I59" s="137">
        <f t="shared" si="15"/>
        <v>0</v>
      </c>
      <c r="J59" s="25"/>
      <c r="K59" s="14" t="s">
        <v>19</v>
      </c>
      <c r="L59" s="15" t="s">
        <v>20</v>
      </c>
      <c r="M59" s="131">
        <v>75700</v>
      </c>
      <c r="N59" s="145" t="s">
        <v>144</v>
      </c>
      <c r="O59" s="94"/>
    </row>
    <row r="60" spans="1:15" ht="37.799999999999997" customHeight="1" x14ac:dyDescent="0.45">
      <c r="A60" s="16"/>
      <c r="B60" s="236"/>
      <c r="C60" s="237"/>
      <c r="D60" s="16" t="s">
        <v>92</v>
      </c>
      <c r="E60" s="25"/>
      <c r="F60" s="25"/>
      <c r="G60" s="97"/>
      <c r="H60" s="140"/>
      <c r="I60" s="137"/>
      <c r="J60" s="25"/>
      <c r="K60" s="14" t="s">
        <v>19</v>
      </c>
      <c r="L60" s="15" t="s">
        <v>20</v>
      </c>
      <c r="M60" s="131"/>
      <c r="N60" s="145" t="s">
        <v>141</v>
      </c>
      <c r="O60" s="94"/>
    </row>
    <row r="61" spans="1:15" ht="74.45" customHeight="1" x14ac:dyDescent="0.45">
      <c r="A61" s="16"/>
      <c r="B61" s="8" t="s">
        <v>93</v>
      </c>
      <c r="C61" s="8" t="s">
        <v>94</v>
      </c>
      <c r="D61" s="8" t="s">
        <v>95</v>
      </c>
      <c r="E61" s="25"/>
      <c r="F61" s="25">
        <v>1030</v>
      </c>
      <c r="G61" s="97"/>
      <c r="H61" s="140"/>
      <c r="I61" s="137"/>
      <c r="J61" s="25"/>
      <c r="K61" s="14" t="s">
        <v>19</v>
      </c>
      <c r="L61" s="15" t="s">
        <v>20</v>
      </c>
      <c r="M61" s="131">
        <v>75700</v>
      </c>
      <c r="N61" s="145" t="s">
        <v>144</v>
      </c>
      <c r="O61" s="94"/>
    </row>
    <row r="62" spans="1:15" ht="42" customHeight="1" x14ac:dyDescent="0.45">
      <c r="A62" s="16"/>
      <c r="B62" s="237" t="s">
        <v>96</v>
      </c>
      <c r="C62" s="8" t="s">
        <v>97</v>
      </c>
      <c r="D62" s="11" t="s">
        <v>98</v>
      </c>
      <c r="E62" s="25"/>
      <c r="F62" s="25"/>
      <c r="G62" s="97"/>
      <c r="H62" s="140"/>
      <c r="I62" s="137"/>
      <c r="J62" s="25"/>
      <c r="K62" s="9" t="s">
        <v>19</v>
      </c>
      <c r="L62" s="10" t="s">
        <v>20</v>
      </c>
      <c r="M62" s="131"/>
      <c r="N62" s="145" t="s">
        <v>144</v>
      </c>
      <c r="O62" s="94"/>
    </row>
    <row r="63" spans="1:15" ht="99.6" customHeight="1" thickBot="1" x14ac:dyDescent="0.5">
      <c r="A63" s="16"/>
      <c r="B63" s="237"/>
      <c r="C63" s="8" t="s">
        <v>99</v>
      </c>
      <c r="D63" s="11" t="s">
        <v>100</v>
      </c>
      <c r="E63" s="25">
        <v>8000</v>
      </c>
      <c r="F63" s="106">
        <v>3000</v>
      </c>
      <c r="G63" s="97">
        <v>2176</v>
      </c>
      <c r="H63" s="140">
        <f t="shared" si="14"/>
        <v>5824</v>
      </c>
      <c r="I63" s="137">
        <f t="shared" si="15"/>
        <v>0.27200000000000002</v>
      </c>
      <c r="J63" s="25"/>
      <c r="K63" s="9" t="s">
        <v>19</v>
      </c>
      <c r="L63" s="10" t="s">
        <v>20</v>
      </c>
      <c r="M63" s="131">
        <v>71600</v>
      </c>
      <c r="N63" s="149" t="s">
        <v>142</v>
      </c>
      <c r="O63" s="94"/>
    </row>
    <row r="64" spans="1:15" ht="25.8" customHeight="1" x14ac:dyDescent="0.45">
      <c r="A64" s="16"/>
      <c r="B64" s="233" t="s">
        <v>101</v>
      </c>
      <c r="C64" s="233"/>
      <c r="D64" s="233"/>
      <c r="E64" s="26">
        <f>SUM(E51:E63)</f>
        <v>143564.16</v>
      </c>
      <c r="F64" s="107">
        <f t="shared" ref="F64:H64" si="16">SUM(F51:F63)</f>
        <v>37986</v>
      </c>
      <c r="G64" s="98">
        <f t="shared" si="16"/>
        <v>55527</v>
      </c>
      <c r="H64" s="26">
        <f t="shared" si="16"/>
        <v>88037.16</v>
      </c>
      <c r="I64" s="26">
        <f t="shared" si="15"/>
        <v>0.38677480507669881</v>
      </c>
      <c r="J64" s="26"/>
      <c r="K64" s="26"/>
      <c r="L64" s="26"/>
      <c r="M64" s="26"/>
      <c r="N64" s="145"/>
      <c r="O64" s="94"/>
    </row>
    <row r="65" spans="1:15" ht="24.6" customHeight="1" x14ac:dyDescent="0.45">
      <c r="A65" s="16"/>
      <c r="B65" s="243" t="s">
        <v>102</v>
      </c>
      <c r="C65" s="243"/>
      <c r="D65" s="243"/>
      <c r="E65" s="243"/>
      <c r="F65" s="243"/>
      <c r="G65" s="243"/>
      <c r="H65" s="243"/>
      <c r="I65" s="243"/>
      <c r="J65" s="243"/>
      <c r="K65" s="243"/>
      <c r="L65" s="243"/>
      <c r="M65" s="243"/>
      <c r="N65" s="145"/>
      <c r="O65" s="94"/>
    </row>
    <row r="66" spans="1:15" ht="49.8" customHeight="1" x14ac:dyDescent="0.45">
      <c r="A66" s="16"/>
      <c r="B66" s="234" t="s">
        <v>103</v>
      </c>
      <c r="C66" s="235" t="s">
        <v>104</v>
      </c>
      <c r="D66" s="16" t="s">
        <v>105</v>
      </c>
      <c r="E66" s="27">
        <v>5000</v>
      </c>
      <c r="F66" s="108">
        <v>3517</v>
      </c>
      <c r="G66" s="100"/>
      <c r="H66" s="27">
        <f>E66-G66</f>
        <v>5000</v>
      </c>
      <c r="I66" s="137">
        <f t="shared" si="15"/>
        <v>0</v>
      </c>
      <c r="J66" s="27"/>
      <c r="K66" s="9" t="s">
        <v>19</v>
      </c>
      <c r="L66" s="10" t="s">
        <v>20</v>
      </c>
      <c r="M66" s="16">
        <v>71300</v>
      </c>
      <c r="N66" s="145" t="s">
        <v>141</v>
      </c>
      <c r="O66" s="94"/>
    </row>
    <row r="67" spans="1:15" ht="24.6" customHeight="1" x14ac:dyDescent="0.45">
      <c r="A67" s="16"/>
      <c r="B67" s="234"/>
      <c r="C67" s="235"/>
      <c r="D67" s="28" t="s">
        <v>106</v>
      </c>
      <c r="E67" s="173">
        <v>10000</v>
      </c>
      <c r="F67" s="174"/>
      <c r="G67" s="175">
        <v>1670</v>
      </c>
      <c r="H67" s="27">
        <f t="shared" ref="H67:H71" si="17">E67-G67</f>
        <v>8330</v>
      </c>
      <c r="I67" s="137">
        <f t="shared" si="15"/>
        <v>0.16700000000000001</v>
      </c>
      <c r="J67" s="173"/>
      <c r="K67" s="9" t="s">
        <v>19</v>
      </c>
      <c r="L67" s="10" t="s">
        <v>20</v>
      </c>
      <c r="M67" s="16">
        <v>71500</v>
      </c>
      <c r="N67" s="145" t="s">
        <v>141</v>
      </c>
      <c r="O67" s="94"/>
    </row>
    <row r="68" spans="1:15" ht="52.25" customHeight="1" x14ac:dyDescent="0.45">
      <c r="A68" s="16"/>
      <c r="B68" s="29" t="s">
        <v>215</v>
      </c>
      <c r="C68" s="30" t="s">
        <v>107</v>
      </c>
      <c r="D68" s="29"/>
      <c r="E68" s="176"/>
      <c r="F68" s="176"/>
      <c r="G68" s="124"/>
      <c r="H68" s="27">
        <f t="shared" si="17"/>
        <v>0</v>
      </c>
      <c r="I68" s="137"/>
      <c r="J68" s="176"/>
      <c r="K68" s="9" t="s">
        <v>19</v>
      </c>
      <c r="L68" s="10" t="s">
        <v>20</v>
      </c>
      <c r="M68" s="16">
        <v>75700</v>
      </c>
      <c r="N68" s="145" t="s">
        <v>141</v>
      </c>
      <c r="O68" s="94"/>
    </row>
    <row r="69" spans="1:15" ht="28.8" customHeight="1" x14ac:dyDescent="0.45">
      <c r="A69" s="16"/>
      <c r="B69" s="29"/>
      <c r="C69" s="30"/>
      <c r="D69" s="29"/>
      <c r="E69" s="176"/>
      <c r="F69" s="176">
        <v>756</v>
      </c>
      <c r="G69" s="124"/>
      <c r="H69" s="27"/>
      <c r="I69" s="137"/>
      <c r="J69" s="176"/>
      <c r="K69" s="9" t="s">
        <v>19</v>
      </c>
      <c r="L69" s="10" t="s">
        <v>20</v>
      </c>
      <c r="M69" s="16">
        <v>74100</v>
      </c>
      <c r="N69" s="145" t="s">
        <v>144</v>
      </c>
      <c r="O69" s="94"/>
    </row>
    <row r="70" spans="1:15" ht="87.6" customHeight="1" x14ac:dyDescent="0.45">
      <c r="A70" s="16"/>
      <c r="B70" s="28" t="s">
        <v>108</v>
      </c>
      <c r="C70" s="31" t="s">
        <v>109</v>
      </c>
      <c r="D70" s="28"/>
      <c r="E70" s="176"/>
      <c r="F70" s="176"/>
      <c r="G70" s="124"/>
      <c r="H70" s="27">
        <f t="shared" si="17"/>
        <v>0</v>
      </c>
      <c r="I70" s="137"/>
      <c r="J70" s="176"/>
      <c r="K70" s="9" t="s">
        <v>19</v>
      </c>
      <c r="L70" s="10" t="s">
        <v>20</v>
      </c>
      <c r="M70" s="16">
        <v>74200</v>
      </c>
      <c r="N70" s="145" t="s">
        <v>141</v>
      </c>
      <c r="O70" s="94"/>
    </row>
    <row r="71" spans="1:15" ht="86.45" customHeight="1" x14ac:dyDescent="0.45">
      <c r="A71" s="16"/>
      <c r="B71" s="29" t="s">
        <v>110</v>
      </c>
      <c r="C71" s="30" t="s">
        <v>111</v>
      </c>
      <c r="D71" s="29"/>
      <c r="E71" s="176"/>
      <c r="F71" s="176"/>
      <c r="G71" s="124"/>
      <c r="H71" s="27">
        <f t="shared" si="17"/>
        <v>0</v>
      </c>
      <c r="I71" s="137"/>
      <c r="J71" s="176"/>
      <c r="K71" s="9" t="s">
        <v>19</v>
      </c>
      <c r="L71" s="10" t="s">
        <v>20</v>
      </c>
      <c r="M71" s="16">
        <v>74200</v>
      </c>
      <c r="N71" s="145" t="s">
        <v>141</v>
      </c>
      <c r="O71" s="94"/>
    </row>
    <row r="72" spans="1:15" ht="73.8" customHeight="1" x14ac:dyDescent="0.45">
      <c r="A72" s="16"/>
      <c r="B72" s="192" t="s">
        <v>112</v>
      </c>
      <c r="C72" s="30" t="s">
        <v>113</v>
      </c>
      <c r="D72" s="29" t="s">
        <v>114</v>
      </c>
      <c r="E72" s="176">
        <v>10000</v>
      </c>
      <c r="F72" s="123">
        <v>1387</v>
      </c>
      <c r="G72" s="124">
        <v>1025</v>
      </c>
      <c r="H72" s="27">
        <f>E72-G72</f>
        <v>8975</v>
      </c>
      <c r="I72" s="137">
        <f t="shared" si="15"/>
        <v>0.10249999999999999</v>
      </c>
      <c r="J72" s="176"/>
      <c r="K72" s="9" t="s">
        <v>19</v>
      </c>
      <c r="L72" s="10" t="s">
        <v>20</v>
      </c>
      <c r="M72" s="16">
        <v>74200</v>
      </c>
      <c r="N72" s="145" t="s">
        <v>141</v>
      </c>
      <c r="O72" s="94"/>
    </row>
    <row r="73" spans="1:15" ht="25.25" customHeight="1" x14ac:dyDescent="0.45">
      <c r="A73" s="16"/>
      <c r="B73" s="177" t="s">
        <v>115</v>
      </c>
      <c r="C73" s="177"/>
      <c r="D73" s="177"/>
      <c r="E73" s="119">
        <f>SUM(E66:E72)</f>
        <v>25000</v>
      </c>
      <c r="F73" s="157">
        <f>SUM(F66:F72)</f>
        <v>5660</v>
      </c>
      <c r="G73" s="120">
        <f>SUM(G66:G72)</f>
        <v>2695</v>
      </c>
      <c r="H73" s="119">
        <f>SUM(H66:H72)</f>
        <v>22305</v>
      </c>
      <c r="I73" s="121">
        <f t="shared" si="15"/>
        <v>0.10780000000000001</v>
      </c>
      <c r="J73" s="119"/>
      <c r="K73" s="119">
        <f>SUM(K67:K72)</f>
        <v>0</v>
      </c>
      <c r="L73" s="119">
        <f>SUM(L67:L72)</f>
        <v>0</v>
      </c>
      <c r="M73" s="119"/>
      <c r="N73" s="145"/>
      <c r="O73" s="94"/>
    </row>
    <row r="74" spans="1:15" ht="25.8" customHeight="1" x14ac:dyDescent="0.45">
      <c r="A74" s="16"/>
      <c r="B74" s="232" t="s">
        <v>116</v>
      </c>
      <c r="C74" s="232"/>
      <c r="D74" s="232"/>
      <c r="E74" s="178">
        <f>+E64+E73</f>
        <v>168564.16</v>
      </c>
      <c r="F74" s="179">
        <f>+F64+F73</f>
        <v>43646</v>
      </c>
      <c r="G74" s="180">
        <f>+G64+G73</f>
        <v>58222</v>
      </c>
      <c r="H74" s="178">
        <f>+H64+H73</f>
        <v>110342.16</v>
      </c>
      <c r="I74" s="181">
        <f t="shared" si="15"/>
        <v>0.34539963892680386</v>
      </c>
      <c r="J74" s="178"/>
      <c r="K74" s="132"/>
      <c r="L74" s="132"/>
      <c r="M74" s="132"/>
      <c r="N74" s="145"/>
      <c r="O74" s="94"/>
    </row>
    <row r="75" spans="1:15" ht="29.45" customHeight="1" x14ac:dyDescent="0.45">
      <c r="A75" s="16"/>
      <c r="B75" s="241" t="s">
        <v>67</v>
      </c>
      <c r="C75" s="241"/>
      <c r="D75" s="241"/>
      <c r="E75" s="32">
        <f>+E74*7%</f>
        <v>11799.491200000002</v>
      </c>
      <c r="F75" s="162">
        <f>+F74*7%</f>
        <v>3055.2200000000003</v>
      </c>
      <c r="G75" s="182">
        <v>4076</v>
      </c>
      <c r="H75" s="32">
        <f>+E75-G75</f>
        <v>7723.4912000000022</v>
      </c>
      <c r="I75" s="164">
        <f t="shared" si="15"/>
        <v>0.34543862365862005</v>
      </c>
      <c r="J75" s="32"/>
      <c r="K75" s="32" t="s">
        <v>19</v>
      </c>
      <c r="L75" s="32" t="s">
        <v>20</v>
      </c>
      <c r="M75" s="165">
        <v>75100</v>
      </c>
      <c r="N75" s="145"/>
      <c r="O75" s="94"/>
    </row>
    <row r="76" spans="1:15" ht="26.45" customHeight="1" x14ac:dyDescent="0.45">
      <c r="A76" s="16"/>
      <c r="B76" s="240" t="s">
        <v>117</v>
      </c>
      <c r="C76" s="240"/>
      <c r="D76" s="240"/>
      <c r="E76" s="166">
        <f>+E74+E75</f>
        <v>180363.65119999999</v>
      </c>
      <c r="F76" s="167">
        <f>+F74+F75</f>
        <v>46701.22</v>
      </c>
      <c r="G76" s="168">
        <f t="shared" ref="G76:H76" si="18">+G74+G75</f>
        <v>62298</v>
      </c>
      <c r="H76" s="166">
        <f t="shared" si="18"/>
        <v>118065.65120000001</v>
      </c>
      <c r="I76" s="169">
        <f t="shared" si="15"/>
        <v>0.34540218932981992</v>
      </c>
      <c r="J76" s="166"/>
      <c r="K76" s="133"/>
      <c r="L76" s="133"/>
      <c r="M76" s="133"/>
      <c r="N76" s="145"/>
      <c r="O76" s="94"/>
    </row>
    <row r="77" spans="1:15" ht="25.25" customHeight="1" x14ac:dyDescent="0.45">
      <c r="A77" s="232" t="s">
        <v>118</v>
      </c>
      <c r="B77" s="232"/>
      <c r="C77" s="232"/>
      <c r="D77" s="232"/>
      <c r="E77" s="178">
        <f t="shared" ref="E77:H79" si="19">+E74+E44</f>
        <v>348901.56700000004</v>
      </c>
      <c r="F77" s="179">
        <f t="shared" si="19"/>
        <v>144235.27799999999</v>
      </c>
      <c r="G77" s="180">
        <f t="shared" si="19"/>
        <v>186156</v>
      </c>
      <c r="H77" s="178">
        <f t="shared" si="19"/>
        <v>162707.56700000001</v>
      </c>
      <c r="I77" s="181">
        <f t="shared" si="15"/>
        <v>0.53354876448577249</v>
      </c>
      <c r="J77" s="178"/>
      <c r="K77" s="132"/>
      <c r="L77" s="132"/>
      <c r="M77" s="132"/>
      <c r="N77" s="145"/>
      <c r="O77" s="94"/>
    </row>
    <row r="78" spans="1:15" ht="23.45" customHeight="1" x14ac:dyDescent="0.45">
      <c r="A78" s="228" t="s">
        <v>119</v>
      </c>
      <c r="B78" s="228"/>
      <c r="C78" s="228"/>
      <c r="D78" s="228"/>
      <c r="E78" s="183">
        <f t="shared" si="19"/>
        <v>24423.109690000005</v>
      </c>
      <c r="F78" s="184">
        <f t="shared" si="19"/>
        <v>10096.46946</v>
      </c>
      <c r="G78" s="185">
        <f t="shared" si="19"/>
        <v>13011</v>
      </c>
      <c r="H78" s="183">
        <f t="shared" si="19"/>
        <v>11412.109690000005</v>
      </c>
      <c r="I78" s="186">
        <f t="shared" si="15"/>
        <v>0.53273314353279633</v>
      </c>
      <c r="J78" s="183"/>
      <c r="K78" s="32" t="s">
        <v>19</v>
      </c>
      <c r="L78" s="32" t="s">
        <v>20</v>
      </c>
      <c r="M78" s="165">
        <v>75100</v>
      </c>
      <c r="N78" s="145"/>
      <c r="O78" s="94"/>
    </row>
    <row r="79" spans="1:15" ht="25.8" customHeight="1" x14ac:dyDescent="0.45">
      <c r="A79" s="229" t="s">
        <v>120</v>
      </c>
      <c r="B79" s="229"/>
      <c r="C79" s="229"/>
      <c r="D79" s="229"/>
      <c r="E79" s="187">
        <f t="shared" si="19"/>
        <v>373324.67668999999</v>
      </c>
      <c r="F79" s="188">
        <f t="shared" si="19"/>
        <v>154331.74746000001</v>
      </c>
      <c r="G79" s="189">
        <f t="shared" si="19"/>
        <v>199167</v>
      </c>
      <c r="H79" s="187">
        <f t="shared" si="19"/>
        <v>174119.67668999999</v>
      </c>
      <c r="I79" s="190">
        <f t="shared" si="15"/>
        <v>0.53349540610567137</v>
      </c>
      <c r="J79" s="187"/>
      <c r="K79" s="191"/>
      <c r="L79" s="191"/>
      <c r="M79" s="191"/>
      <c r="N79" s="145"/>
      <c r="O79" s="94"/>
    </row>
    <row r="80" spans="1:15" x14ac:dyDescent="0.45">
      <c r="N80" s="94"/>
      <c r="O80" s="94"/>
    </row>
    <row r="81" spans="2:15" x14ac:dyDescent="0.45">
      <c r="F81" s="88"/>
      <c r="G81" s="34"/>
      <c r="N81" s="94"/>
      <c r="O81" s="94"/>
    </row>
    <row r="82" spans="2:15" x14ac:dyDescent="0.45">
      <c r="E82" s="33" t="e">
        <f>+E79-#REF!</f>
        <v>#REF!</v>
      </c>
      <c r="N82" s="94"/>
      <c r="O82" s="94"/>
    </row>
    <row r="83" spans="2:15" x14ac:dyDescent="0.45">
      <c r="E83" s="33"/>
      <c r="F83" s="33"/>
      <c r="G83" s="33"/>
      <c r="H83" s="33"/>
      <c r="I83" s="33"/>
      <c r="J83" s="33"/>
    </row>
    <row r="85" spans="2:15" x14ac:dyDescent="0.45">
      <c r="D85" s="34"/>
    </row>
    <row r="86" spans="2:15" x14ac:dyDescent="0.45">
      <c r="B86" s="35"/>
    </row>
    <row r="88" spans="2:15" x14ac:dyDescent="0.45">
      <c r="E88" s="34"/>
      <c r="F88" s="34"/>
      <c r="G88" s="34"/>
      <c r="H88" s="34"/>
      <c r="I88" s="34"/>
      <c r="J88" s="34"/>
    </row>
  </sheetData>
  <mergeCells count="56">
    <mergeCell ref="B46:D46"/>
    <mergeCell ref="B40:B42"/>
    <mergeCell ref="B43:D43"/>
    <mergeCell ref="B39:M39"/>
    <mergeCell ref="B65:M65"/>
    <mergeCell ref="B74:D74"/>
    <mergeCell ref="A49:M49"/>
    <mergeCell ref="B50:M50"/>
    <mergeCell ref="I47:I48"/>
    <mergeCell ref="J47:J48"/>
    <mergeCell ref="N8:N9"/>
    <mergeCell ref="L28:L30"/>
    <mergeCell ref="M28:M30"/>
    <mergeCell ref="H35:H37"/>
    <mergeCell ref="L35:L37"/>
    <mergeCell ref="A10:M10"/>
    <mergeCell ref="K28:K30"/>
    <mergeCell ref="I35:I37"/>
    <mergeCell ref="J35:J37"/>
    <mergeCell ref="K35:K37"/>
    <mergeCell ref="D28:D30"/>
    <mergeCell ref="I28:I30"/>
    <mergeCell ref="B33:M33"/>
    <mergeCell ref="B13:C26"/>
    <mergeCell ref="B76:D76"/>
    <mergeCell ref="B75:D75"/>
    <mergeCell ref="I8:I9"/>
    <mergeCell ref="J8:J9"/>
    <mergeCell ref="B11:M11"/>
    <mergeCell ref="B12:M12"/>
    <mergeCell ref="A9:B9"/>
    <mergeCell ref="F8:F9"/>
    <mergeCell ref="G8:G9"/>
    <mergeCell ref="H8:H9"/>
    <mergeCell ref="K8:M8"/>
    <mergeCell ref="A8:B8"/>
    <mergeCell ref="C8:D8"/>
    <mergeCell ref="E8:E9"/>
    <mergeCell ref="B44:D44"/>
    <mergeCell ref="B45:D45"/>
    <mergeCell ref="A78:D78"/>
    <mergeCell ref="A79:D79"/>
    <mergeCell ref="F47:F48"/>
    <mergeCell ref="G47:G48"/>
    <mergeCell ref="H47:H48"/>
    <mergeCell ref="A77:D77"/>
    <mergeCell ref="E47:E48"/>
    <mergeCell ref="B64:D64"/>
    <mergeCell ref="B66:B67"/>
    <mergeCell ref="C66:C67"/>
    <mergeCell ref="B59:B60"/>
    <mergeCell ref="C59:C60"/>
    <mergeCell ref="B62:B63"/>
    <mergeCell ref="A47:A48"/>
    <mergeCell ref="B47:B48"/>
    <mergeCell ref="C47:D48"/>
  </mergeCells>
  <printOptions horizontalCentered="1"/>
  <pageMargins left="3.937007874015748E-2" right="3.937007874015748E-2" top="3.937007874015748E-2" bottom="3.937007874015748E-2"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D33A0-0237-4C1D-8DB5-11CFCEB32330}">
  <dimension ref="A1:IR40"/>
  <sheetViews>
    <sheetView topLeftCell="D27" zoomScale="80" zoomScaleNormal="80" workbookViewId="0">
      <selection activeCell="J19" sqref="J19"/>
    </sheetView>
  </sheetViews>
  <sheetFormatPr baseColWidth="10" defaultColWidth="9.1328125" defaultRowHeight="14.25" x14ac:dyDescent="0.45"/>
  <cols>
    <col min="1" max="1" width="22.796875" customWidth="1"/>
    <col min="2" max="2" width="30.33203125" customWidth="1"/>
    <col min="3" max="3" width="16.6640625" style="41" customWidth="1"/>
    <col min="4" max="4" width="15.796875" style="41" customWidth="1"/>
    <col min="5" max="5" width="15.6640625" style="41" customWidth="1"/>
    <col min="6" max="6" width="15.796875" style="41" customWidth="1"/>
    <col min="7" max="7" width="18.53125" style="41" customWidth="1"/>
    <col min="8" max="8" width="16.19921875" style="41" customWidth="1"/>
    <col min="9" max="9" width="16.33203125" style="42" customWidth="1"/>
    <col min="10" max="10" width="16.46484375" customWidth="1"/>
    <col min="11" max="11" width="16.33203125" customWidth="1"/>
    <col min="12" max="12" width="17.1328125" customWidth="1"/>
  </cols>
  <sheetData>
    <row r="1" spans="1:252" ht="30" customHeight="1" x14ac:dyDescent="0.45">
      <c r="A1" s="85" t="s">
        <v>148</v>
      </c>
      <c r="B1" s="86"/>
    </row>
    <row r="2" spans="1:252" ht="20.45" customHeight="1" x14ac:dyDescent="0.5">
      <c r="A2" s="36"/>
      <c r="B2" s="36"/>
    </row>
    <row r="3" spans="1:252" ht="20.45" customHeight="1" x14ac:dyDescent="0.5">
      <c r="A3" s="36" t="s">
        <v>149</v>
      </c>
      <c r="B3" s="36"/>
    </row>
    <row r="4" spans="1:252" ht="21" customHeight="1" x14ac:dyDescent="0.45"/>
    <row r="5" spans="1:252" ht="15.75" x14ac:dyDescent="0.5">
      <c r="A5" s="36" t="s">
        <v>150</v>
      </c>
    </row>
    <row r="6" spans="1:252" ht="15" customHeight="1" x14ac:dyDescent="0.45"/>
    <row r="7" spans="1:252" ht="137.44999999999999" customHeight="1" x14ac:dyDescent="0.45">
      <c r="A7" s="43" t="s">
        <v>151</v>
      </c>
      <c r="B7" s="43" t="s">
        <v>152</v>
      </c>
      <c r="C7" s="43" t="s">
        <v>153</v>
      </c>
      <c r="D7" s="43" t="s">
        <v>154</v>
      </c>
      <c r="E7" s="43" t="s">
        <v>155</v>
      </c>
      <c r="F7" s="43" t="s">
        <v>156</v>
      </c>
      <c r="G7" s="44" t="s">
        <v>157</v>
      </c>
      <c r="H7" s="43" t="s">
        <v>158</v>
      </c>
      <c r="I7" s="45" t="s">
        <v>159</v>
      </c>
      <c r="J7" s="43" t="s">
        <v>160</v>
      </c>
      <c r="K7" s="43" t="s">
        <v>11</v>
      </c>
      <c r="L7" s="43" t="s">
        <v>161</v>
      </c>
    </row>
    <row r="8" spans="1:252" ht="29.45" customHeight="1" x14ac:dyDescent="0.45">
      <c r="A8" s="257"/>
      <c r="B8" s="257"/>
      <c r="C8" s="257"/>
      <c r="D8" s="257"/>
      <c r="E8" s="257"/>
      <c r="F8" s="257"/>
      <c r="G8" s="257"/>
      <c r="H8" s="257"/>
      <c r="I8" s="257"/>
      <c r="J8" s="257"/>
      <c r="K8" s="257"/>
      <c r="L8" s="257"/>
    </row>
    <row r="9" spans="1:252" s="51" customFormat="1" ht="111" customHeight="1" x14ac:dyDescent="0.45">
      <c r="A9" s="46" t="s">
        <v>162</v>
      </c>
      <c r="B9" s="47" t="s">
        <v>163</v>
      </c>
      <c r="C9" s="48">
        <f>SUM(C10:C12)</f>
        <v>660183</v>
      </c>
      <c r="D9" s="49">
        <f>SUM(D10:D12)</f>
        <v>382221</v>
      </c>
      <c r="E9" s="49">
        <f>SUM(E10:E12)</f>
        <v>359613</v>
      </c>
      <c r="F9" s="49">
        <f>SUM(F10:F12)</f>
        <v>360612.66000000003</v>
      </c>
      <c r="G9" s="49">
        <f>SUM(G10:G12)</f>
        <v>204112.66</v>
      </c>
      <c r="H9" s="49">
        <f>SUM(C9:G9)</f>
        <v>1966742.32</v>
      </c>
      <c r="I9" s="50">
        <f t="shared" ref="I9:I22" si="0">+J9/H9</f>
        <v>0.86132059379288683</v>
      </c>
      <c r="J9" s="49">
        <f>SUM(J10:J13)</f>
        <v>1693995.6628999999</v>
      </c>
      <c r="K9" s="49">
        <f t="shared" ref="K9:K26" si="1">+H9-J9</f>
        <v>272746.65710000019</v>
      </c>
      <c r="L9" s="4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row>
    <row r="10" spans="1:252" ht="84" customHeight="1" x14ac:dyDescent="0.45">
      <c r="A10" s="52" t="s">
        <v>164</v>
      </c>
      <c r="B10" s="53" t="s">
        <v>165</v>
      </c>
      <c r="C10" s="54">
        <f>+'[1]cumul Activity2015-2018 '!N7</f>
        <v>120000</v>
      </c>
      <c r="D10" s="55">
        <f>+'[1]cumul Activity2015-2018 '!T7</f>
        <v>80000</v>
      </c>
      <c r="E10" s="55">
        <f>+'[2]BUDGET 2019'!C18</f>
        <v>7000</v>
      </c>
      <c r="F10" s="55">
        <v>20000</v>
      </c>
      <c r="G10" s="55"/>
      <c r="H10" s="49">
        <f t="shared" ref="H10:H25" si="2">SUM(C10:G10)</f>
        <v>227000</v>
      </c>
      <c r="I10" s="50">
        <f t="shared" si="0"/>
        <v>1.0566386343612335</v>
      </c>
      <c r="J10" s="56">
        <f>+'[2]CUMUL ACTIVITY 2015 2019'!U7+[3]Annexe3!U7+'RAPPORT PTA 2021'!G32</f>
        <v>239856.97</v>
      </c>
      <c r="K10" s="49">
        <f t="shared" si="1"/>
        <v>-12856.970000000001</v>
      </c>
      <c r="L10" s="43"/>
    </row>
    <row r="11" spans="1:252" ht="110.45" customHeight="1" x14ac:dyDescent="0.45">
      <c r="A11" s="52" t="s">
        <v>166</v>
      </c>
      <c r="B11" s="53" t="s">
        <v>167</v>
      </c>
      <c r="C11" s="54">
        <f>+'[1]cumul Activity2015-2018 '!N8</f>
        <v>406983</v>
      </c>
      <c r="D11" s="57">
        <f>+'[1]cumul Activity2015-2018 '!T8</f>
        <v>302221</v>
      </c>
      <c r="E11" s="57">
        <f>'[2]BUD 2019'!C22</f>
        <v>305000</v>
      </c>
      <c r="F11" s="57">
        <v>293000</v>
      </c>
      <c r="G11" s="57">
        <f>+'[4]SHEET 1'!D20</f>
        <v>142500</v>
      </c>
      <c r="H11" s="49">
        <f t="shared" si="2"/>
        <v>1449704</v>
      </c>
      <c r="I11" s="50">
        <f t="shared" si="0"/>
        <v>0.77532125178657152</v>
      </c>
      <c r="J11" s="58">
        <f>+'[2]CUMUL ACTIVITY 2015 2019'!U8+[3]Annexe3!U8+'RAPPORT PTA 2021'!G38</f>
        <v>1123986.3199999998</v>
      </c>
      <c r="K11" s="49">
        <f t="shared" si="1"/>
        <v>325717.68000000017</v>
      </c>
      <c r="L11" s="59"/>
    </row>
    <row r="12" spans="1:252" ht="78" customHeight="1" x14ac:dyDescent="0.45">
      <c r="A12" s="52" t="s">
        <v>168</v>
      </c>
      <c r="B12" s="53" t="s">
        <v>169</v>
      </c>
      <c r="C12" s="54">
        <f>+'[1]cumul Activity2015-2018 '!N9</f>
        <v>133200</v>
      </c>
      <c r="D12" s="55">
        <f>+'[1]cumul Activity2015-2018 '!T9</f>
        <v>0</v>
      </c>
      <c r="E12" s="55">
        <f>'[2]BUD 2019'!C28</f>
        <v>47613</v>
      </c>
      <c r="F12" s="55">
        <v>47612.66</v>
      </c>
      <c r="G12" s="55">
        <f>+'[4]SHEET 1'!D26</f>
        <v>61612.66</v>
      </c>
      <c r="H12" s="49">
        <f t="shared" si="2"/>
        <v>290038.32</v>
      </c>
      <c r="I12" s="50">
        <f t="shared" si="0"/>
        <v>0.7696521963028885</v>
      </c>
      <c r="J12" s="58">
        <f>+'[2]CUMUL ACTIVITY 2015 2019'!U9+[3]Annexe3!U9+'RAPPORT PTA 2021'!G43</f>
        <v>223228.63</v>
      </c>
      <c r="K12" s="49">
        <f t="shared" si="1"/>
        <v>66809.69</v>
      </c>
      <c r="L12" s="59"/>
    </row>
    <row r="13" spans="1:252" ht="43.25" customHeight="1" x14ac:dyDescent="0.45">
      <c r="A13" s="52"/>
      <c r="B13" s="53" t="s">
        <v>170</v>
      </c>
      <c r="C13" s="60"/>
      <c r="D13" s="57"/>
      <c r="E13" s="57"/>
      <c r="F13" s="57"/>
      <c r="G13" s="57"/>
      <c r="H13" s="49">
        <f t="shared" ref="H13:H17" si="3">SUM(C13:F13)</f>
        <v>0</v>
      </c>
      <c r="I13" s="50"/>
      <c r="J13" s="58">
        <f>+'[2]CUMUL ACTIVITY 2015 2019'!U10+[3]Annexe3!U10+'RAPPORT PTA 2021'!G45</f>
        <v>106923.7429</v>
      </c>
      <c r="K13" s="49">
        <f t="shared" si="1"/>
        <v>-106923.7429</v>
      </c>
      <c r="L13" s="59"/>
    </row>
    <row r="14" spans="1:252" s="51" customFormat="1" ht="64.8" customHeight="1" x14ac:dyDescent="0.45">
      <c r="A14" s="47" t="s">
        <v>171</v>
      </c>
      <c r="B14" s="47" t="s">
        <v>172</v>
      </c>
      <c r="C14" s="61">
        <f>SUM(C15:C25)</f>
        <v>489818</v>
      </c>
      <c r="D14" s="61">
        <f>SUM(D15:D25)</f>
        <v>85069</v>
      </c>
      <c r="E14" s="61">
        <f>SUM(E15:E25)</f>
        <v>201168.66</v>
      </c>
      <c r="F14" s="61">
        <f>SUM(F15:F25)</f>
        <v>135069</v>
      </c>
      <c r="G14" s="61">
        <f>SUM(G15:G25)</f>
        <v>125069</v>
      </c>
      <c r="H14" s="49">
        <f t="shared" si="2"/>
        <v>1036193.66</v>
      </c>
      <c r="I14" s="50">
        <f t="shared" si="0"/>
        <v>0.87690790725355339</v>
      </c>
      <c r="J14" s="61">
        <f>SUM(J15:J26)</f>
        <v>908646.41390000004</v>
      </c>
      <c r="K14" s="49">
        <f t="shared" si="1"/>
        <v>127547.24609999999</v>
      </c>
      <c r="L14" s="47"/>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row>
    <row r="15" spans="1:252" ht="102" customHeight="1" x14ac:dyDescent="0.45">
      <c r="A15" s="62" t="s">
        <v>173</v>
      </c>
      <c r="B15" s="53" t="s">
        <v>165</v>
      </c>
      <c r="C15" s="63">
        <f>'[1]cumul Activity2015-2018 '!N13</f>
        <v>172800</v>
      </c>
      <c r="D15" s="63">
        <f>'[1]cumul Activity2015-2018 '!T13</f>
        <v>60069</v>
      </c>
      <c r="E15" s="63">
        <f>'[2]BUD 2019'!C34</f>
        <v>60069</v>
      </c>
      <c r="F15" s="63">
        <v>60069</v>
      </c>
      <c r="G15" s="63">
        <f>+'[4]SHEET 1'!D34</f>
        <v>60069</v>
      </c>
      <c r="H15" s="49">
        <f t="shared" si="2"/>
        <v>413076</v>
      </c>
      <c r="I15" s="50">
        <f t="shared" si="0"/>
        <v>1.0500337226079461</v>
      </c>
      <c r="J15" s="63">
        <f>+[3]Annexe3!X13+'RAPPORT PTA 2021'!G64</f>
        <v>433743.73</v>
      </c>
      <c r="K15" s="49">
        <f t="shared" si="1"/>
        <v>-20667.729999999981</v>
      </c>
      <c r="L15" s="53"/>
    </row>
    <row r="16" spans="1:252" ht="44.45" customHeight="1" x14ac:dyDescent="0.45">
      <c r="A16" s="53" t="s">
        <v>174</v>
      </c>
      <c r="B16" s="53" t="s">
        <v>175</v>
      </c>
      <c r="C16" s="63">
        <f>'[1]cumul Activity2015-2018 '!N14</f>
        <v>100000</v>
      </c>
      <c r="D16" s="63">
        <f>'[1]cumul Activity2015-2018 '!T14</f>
        <v>0</v>
      </c>
      <c r="E16" s="64">
        <f>'[2]BUD 2019'!C40</f>
        <v>106482.97</v>
      </c>
      <c r="F16" s="64">
        <v>50000</v>
      </c>
      <c r="G16" s="64"/>
      <c r="H16" s="49">
        <f t="shared" si="2"/>
        <v>256482.97</v>
      </c>
      <c r="I16" s="50">
        <f t="shared" si="0"/>
        <v>0.68549190614877864</v>
      </c>
      <c r="J16" s="63">
        <f>+[3]Annexe3!X14</f>
        <v>175817</v>
      </c>
      <c r="K16" s="49">
        <f t="shared" si="1"/>
        <v>80665.97</v>
      </c>
      <c r="L16" s="65"/>
    </row>
    <row r="17" spans="1:12" ht="42.6" customHeight="1" x14ac:dyDescent="0.45">
      <c r="A17" s="53" t="s">
        <v>176</v>
      </c>
      <c r="B17" s="53" t="s">
        <v>177</v>
      </c>
      <c r="C17" s="63">
        <f>'[1]cumul Activity2015-2018 '!N15</f>
        <v>0</v>
      </c>
      <c r="D17" s="63">
        <f>'[1]cumul Activity2015-2018 '!T15</f>
        <v>0</v>
      </c>
      <c r="E17" s="63">
        <f>'[2]BUD 2019'!C43</f>
        <v>0</v>
      </c>
      <c r="F17" s="63"/>
      <c r="G17" s="63"/>
      <c r="H17" s="49">
        <f t="shared" si="3"/>
        <v>0</v>
      </c>
      <c r="I17" s="50"/>
      <c r="J17" s="63">
        <f>+[3]Annexe3!X15</f>
        <v>0</v>
      </c>
      <c r="K17" s="49">
        <f t="shared" si="1"/>
        <v>0</v>
      </c>
      <c r="L17" s="53"/>
    </row>
    <row r="18" spans="1:12" ht="64.25" customHeight="1" x14ac:dyDescent="0.45">
      <c r="A18" s="53" t="s">
        <v>178</v>
      </c>
      <c r="B18" s="53" t="s">
        <v>179</v>
      </c>
      <c r="C18" s="66">
        <f>'[1]cumul Activity2015-2018 '!N16</f>
        <v>50000</v>
      </c>
      <c r="D18" s="66">
        <f>'[1]cumul Activity2015-2018 '!T16</f>
        <v>10000</v>
      </c>
      <c r="E18" s="67">
        <f>'[2]BUD 2019'!C48</f>
        <v>4500</v>
      </c>
      <c r="F18" s="67">
        <v>5000</v>
      </c>
      <c r="G18" s="67"/>
      <c r="H18" s="49">
        <f t="shared" si="2"/>
        <v>69500</v>
      </c>
      <c r="I18" s="50">
        <f t="shared" si="0"/>
        <v>0.94672446043165481</v>
      </c>
      <c r="J18" s="63">
        <f>+[3]Annexe3!X16</f>
        <v>65797.350000000006</v>
      </c>
      <c r="K18" s="49">
        <f t="shared" si="1"/>
        <v>3702.6499999999942</v>
      </c>
      <c r="L18" s="53"/>
    </row>
    <row r="19" spans="1:12" ht="66" customHeight="1" x14ac:dyDescent="0.45">
      <c r="A19" s="53" t="s">
        <v>180</v>
      </c>
      <c r="B19" s="53" t="s">
        <v>181</v>
      </c>
      <c r="C19" s="65">
        <f>'[1]cumul Activity2015-2018 '!N17</f>
        <v>30018</v>
      </c>
      <c r="D19" s="65">
        <f>'[1]cumul Activity2015-2018 '!T17</f>
        <v>0</v>
      </c>
      <c r="E19" s="65">
        <f>'[2]BUD 2019'!C51</f>
        <v>0</v>
      </c>
      <c r="F19" s="65"/>
      <c r="G19" s="65">
        <v>5000</v>
      </c>
      <c r="H19" s="49">
        <f t="shared" si="2"/>
        <v>35018</v>
      </c>
      <c r="I19" s="50">
        <f t="shared" si="0"/>
        <v>0.23139899480267292</v>
      </c>
      <c r="J19" s="65">
        <f>+[3]Annexe3!X17</f>
        <v>8103.13</v>
      </c>
      <c r="K19" s="68">
        <f t="shared" si="1"/>
        <v>26914.87</v>
      </c>
      <c r="L19" s="65"/>
    </row>
    <row r="20" spans="1:12" ht="45.6" customHeight="1" x14ac:dyDescent="0.45">
      <c r="A20" s="53" t="s">
        <v>182</v>
      </c>
      <c r="B20" s="53" t="s">
        <v>183</v>
      </c>
      <c r="C20" s="65">
        <f>'[1]cumul Activity2015-2018 '!N18</f>
        <v>45000</v>
      </c>
      <c r="D20" s="65">
        <f>'[1]cumul Activity2015-2018 '!T18</f>
        <v>0</v>
      </c>
      <c r="E20" s="65">
        <f>'[2]BUD 2019'!C54</f>
        <v>0</v>
      </c>
      <c r="F20" s="65">
        <v>5000</v>
      </c>
      <c r="G20" s="65"/>
      <c r="H20" s="49">
        <f t="shared" si="2"/>
        <v>50000</v>
      </c>
      <c r="I20" s="50">
        <f t="shared" si="0"/>
        <v>0.5127254</v>
      </c>
      <c r="J20" s="65">
        <f>+[3]Annexe3!X18</f>
        <v>25636.27</v>
      </c>
      <c r="K20" s="68">
        <f t="shared" si="1"/>
        <v>24363.73</v>
      </c>
      <c r="L20" s="65"/>
    </row>
    <row r="21" spans="1:12" ht="45.6" customHeight="1" x14ac:dyDescent="0.45">
      <c r="A21" s="53"/>
      <c r="C21" s="65"/>
      <c r="D21" s="65"/>
      <c r="E21" s="65"/>
      <c r="F21" s="65"/>
      <c r="G21" s="65"/>
      <c r="H21" s="49">
        <f t="shared" si="2"/>
        <v>0</v>
      </c>
      <c r="I21" s="50"/>
      <c r="J21" s="65">
        <f>[3]Annexe3!X19</f>
        <v>11004</v>
      </c>
      <c r="K21" s="68"/>
      <c r="L21" s="65"/>
    </row>
    <row r="22" spans="1:12" ht="35.450000000000003" customHeight="1" x14ac:dyDescent="0.45">
      <c r="A22" s="53" t="s">
        <v>184</v>
      </c>
      <c r="B22" s="53" t="s">
        <v>185</v>
      </c>
      <c r="C22" s="89">
        <f>'[1]cumul Activity2015-2018 '!N20</f>
        <v>39000</v>
      </c>
      <c r="D22" s="89">
        <f>'[1]cumul Activity2015-2018 '!T20</f>
        <v>10000</v>
      </c>
      <c r="E22" s="89">
        <f>'[2]BUD 2019'!C59</f>
        <v>10500</v>
      </c>
      <c r="F22" s="89">
        <v>10000</v>
      </c>
      <c r="G22" s="89"/>
      <c r="H22" s="49">
        <f t="shared" si="2"/>
        <v>69500</v>
      </c>
      <c r="I22" s="69">
        <f t="shared" si="0"/>
        <v>1.1912287769784171</v>
      </c>
      <c r="J22" s="65">
        <f>+[3]Annexe3!X20</f>
        <v>82790.399999999994</v>
      </c>
      <c r="K22" s="68">
        <f t="shared" si="1"/>
        <v>-13290.399999999994</v>
      </c>
      <c r="L22" s="65"/>
    </row>
    <row r="23" spans="1:12" ht="47.45" customHeight="1" x14ac:dyDescent="0.45">
      <c r="A23" s="53" t="s">
        <v>186</v>
      </c>
      <c r="B23" s="53" t="s">
        <v>187</v>
      </c>
      <c r="C23" s="65">
        <f>'[1]cumul Activity2015-2018 '!N21</f>
        <v>53000</v>
      </c>
      <c r="D23" s="65">
        <f>'[1]cumul Activity2015-2018 '!T21</f>
        <v>5000</v>
      </c>
      <c r="E23" s="65">
        <f>'[2]BUD 2019'!C64</f>
        <v>1354</v>
      </c>
      <c r="F23" s="65">
        <v>5000</v>
      </c>
      <c r="G23" s="65">
        <v>20000</v>
      </c>
      <c r="H23" s="49">
        <f t="shared" si="2"/>
        <v>84354</v>
      </c>
      <c r="I23" s="69">
        <f>+J23/H23</f>
        <v>0.50643834317281933</v>
      </c>
      <c r="J23" s="65">
        <f>+[3]Annexe3!X21+'RAPPORT PTA 2021'!G73</f>
        <v>42720.1</v>
      </c>
      <c r="K23" s="68">
        <f t="shared" si="1"/>
        <v>41633.9</v>
      </c>
      <c r="L23" s="65"/>
    </row>
    <row r="24" spans="1:12" ht="75.599999999999994" customHeight="1" x14ac:dyDescent="0.45">
      <c r="A24" s="53" t="s">
        <v>188</v>
      </c>
      <c r="B24" s="84" t="s">
        <v>189</v>
      </c>
      <c r="C24" s="65"/>
      <c r="D24" s="65"/>
      <c r="E24" s="65"/>
      <c r="F24" s="65"/>
      <c r="G24" s="65">
        <f>+'[4]SHEET 1'!D45</f>
        <v>40000</v>
      </c>
      <c r="H24" s="49">
        <f t="shared" si="2"/>
        <v>40000</v>
      </c>
      <c r="I24" s="69">
        <f>+J24/H24</f>
        <v>0</v>
      </c>
      <c r="J24" s="65">
        <v>0</v>
      </c>
      <c r="K24" s="68"/>
      <c r="L24" s="65"/>
    </row>
    <row r="25" spans="1:12" ht="37.25" customHeight="1" x14ac:dyDescent="0.45">
      <c r="A25" s="53" t="s">
        <v>190</v>
      </c>
      <c r="B25" s="53" t="s">
        <v>23</v>
      </c>
      <c r="C25" s="65"/>
      <c r="D25" s="65"/>
      <c r="E25" s="65">
        <f>'[2]BUD 2019'!C69</f>
        <v>18262.689999999999</v>
      </c>
      <c r="F25" s="65"/>
      <c r="G25" s="65"/>
      <c r="H25" s="49">
        <f t="shared" si="2"/>
        <v>18262.689999999999</v>
      </c>
      <c r="I25" s="69">
        <f>+J25/H25</f>
        <v>0.74188304132633265</v>
      </c>
      <c r="J25" s="65">
        <f>+[3]Annexe3!X22</f>
        <v>13548.78</v>
      </c>
      <c r="K25" s="68">
        <f t="shared" si="1"/>
        <v>4713.909999999998</v>
      </c>
      <c r="L25" s="65"/>
    </row>
    <row r="26" spans="1:12" ht="21" customHeight="1" x14ac:dyDescent="0.45">
      <c r="A26" s="70" t="s">
        <v>170</v>
      </c>
      <c r="B26" s="53" t="s">
        <v>191</v>
      </c>
      <c r="C26" s="63"/>
      <c r="D26" s="63"/>
      <c r="E26" s="71"/>
      <c r="F26" s="71"/>
      <c r="G26" s="71"/>
      <c r="H26" s="49">
        <f>SUM(C26:F26)</f>
        <v>0</v>
      </c>
      <c r="I26" s="50"/>
      <c r="J26" s="65">
        <f>+[3]Annexe3!X23+'RAPPORT PTA 2021'!G75</f>
        <v>49485.653900000005</v>
      </c>
      <c r="K26" s="49">
        <f t="shared" si="1"/>
        <v>-49485.653900000005</v>
      </c>
      <c r="L26" s="65"/>
    </row>
    <row r="27" spans="1:12" ht="29.25" customHeight="1" x14ac:dyDescent="0.45">
      <c r="A27" s="258" t="s">
        <v>192</v>
      </c>
      <c r="B27" s="258"/>
      <c r="C27" s="258"/>
      <c r="D27" s="258"/>
      <c r="E27" s="258"/>
      <c r="F27" s="258"/>
      <c r="G27" s="258"/>
      <c r="H27" s="258"/>
      <c r="I27" s="258"/>
      <c r="J27" s="258"/>
      <c r="K27" s="258"/>
      <c r="L27" s="258"/>
    </row>
    <row r="28" spans="1:12" ht="67.8" customHeight="1" x14ac:dyDescent="0.45">
      <c r="A28" s="53" t="s">
        <v>193</v>
      </c>
      <c r="B28" s="53"/>
      <c r="C28" s="72"/>
      <c r="D28" s="73"/>
      <c r="E28" s="73"/>
      <c r="F28" s="73"/>
      <c r="G28" s="73"/>
      <c r="H28" s="73"/>
      <c r="I28" s="74"/>
      <c r="J28" s="53"/>
      <c r="K28" s="49">
        <f t="shared" ref="K28:K33" si="4">+H28-J28</f>
        <v>0</v>
      </c>
      <c r="L28" s="75"/>
    </row>
    <row r="29" spans="1:12" ht="58.25" customHeight="1" x14ac:dyDescent="0.45">
      <c r="A29" s="53" t="s">
        <v>194</v>
      </c>
      <c r="B29" s="53"/>
      <c r="C29" s="72"/>
      <c r="D29" s="73"/>
      <c r="E29" s="73"/>
      <c r="F29" s="73"/>
      <c r="G29" s="73"/>
      <c r="H29" s="76">
        <f t="shared" ref="H29:H30" si="5">SUM(B29:E29)</f>
        <v>0</v>
      </c>
      <c r="I29" s="74"/>
      <c r="J29" s="53"/>
      <c r="K29" s="49">
        <f t="shared" si="4"/>
        <v>0</v>
      </c>
      <c r="L29" s="53"/>
    </row>
    <row r="30" spans="1:12" ht="37.799999999999997" customHeight="1" x14ac:dyDescent="0.45">
      <c r="A30" s="53" t="s">
        <v>195</v>
      </c>
      <c r="B30" s="53" t="s">
        <v>1</v>
      </c>
      <c r="C30" s="72"/>
      <c r="D30" s="73"/>
      <c r="E30" s="73"/>
      <c r="F30" s="73"/>
      <c r="G30" s="73"/>
      <c r="H30" s="76">
        <f t="shared" si="5"/>
        <v>0</v>
      </c>
      <c r="I30" s="74"/>
      <c r="J30" s="53"/>
      <c r="K30" s="49">
        <f t="shared" si="4"/>
        <v>0</v>
      </c>
      <c r="L30" s="75"/>
    </row>
    <row r="31" spans="1:12" ht="50" customHeight="1" x14ac:dyDescent="0.45">
      <c r="A31" s="53" t="s">
        <v>196</v>
      </c>
      <c r="B31" s="53"/>
      <c r="C31" s="77">
        <f>C14+C9</f>
        <v>1150001</v>
      </c>
      <c r="D31" s="77">
        <f>D14+D9</f>
        <v>467290</v>
      </c>
      <c r="E31" s="77">
        <f>E14+E9</f>
        <v>560781.66</v>
      </c>
      <c r="F31" s="77">
        <f>F14+F9</f>
        <v>495681.66000000003</v>
      </c>
      <c r="G31" s="77">
        <f>G14+G9</f>
        <v>329181.66000000003</v>
      </c>
      <c r="H31" s="49">
        <f t="shared" ref="H31:H33" si="6">SUM(C31:G31)</f>
        <v>3002935.9800000004</v>
      </c>
      <c r="I31" s="50">
        <f>+J31/H31</f>
        <v>0.86669915513816564</v>
      </c>
      <c r="J31" s="77">
        <f>+J14+J9</f>
        <v>2602642.0767999999</v>
      </c>
      <c r="K31" s="49">
        <f t="shared" si="4"/>
        <v>400293.90320000052</v>
      </c>
      <c r="L31" s="78"/>
    </row>
    <row r="32" spans="1:12" ht="29.45" customHeight="1" x14ac:dyDescent="0.45">
      <c r="A32" s="52" t="s">
        <v>197</v>
      </c>
      <c r="B32" s="52"/>
      <c r="C32" s="52"/>
      <c r="D32" s="79">
        <f>'[1]cumul Activity2015-2018 '!T23</f>
        <v>32710</v>
      </c>
      <c r="E32" s="79">
        <v>39254.720000000001</v>
      </c>
      <c r="F32" s="79">
        <v>34697.72</v>
      </c>
      <c r="G32" s="79">
        <f>+'[4]SHEET 1'!D54</f>
        <v>23042.716200000006</v>
      </c>
      <c r="H32" s="49">
        <f t="shared" si="6"/>
        <v>129705.15620000001</v>
      </c>
      <c r="I32" s="50"/>
      <c r="J32" s="77"/>
      <c r="K32" s="49">
        <f t="shared" si="4"/>
        <v>129705.15620000001</v>
      </c>
      <c r="L32" s="52"/>
    </row>
    <row r="33" spans="1:12" ht="37.799999999999997" customHeight="1" x14ac:dyDescent="0.45">
      <c r="A33" s="80" t="s">
        <v>198</v>
      </c>
      <c r="B33" s="80"/>
      <c r="C33" s="81">
        <f>C31+C32</f>
        <v>1150001</v>
      </c>
      <c r="D33" s="81">
        <f>D31+D32</f>
        <v>500000</v>
      </c>
      <c r="E33" s="81">
        <f>E31+E32</f>
        <v>600036.38</v>
      </c>
      <c r="F33" s="81">
        <f>F31+F32</f>
        <v>530379.38</v>
      </c>
      <c r="G33" s="81">
        <f>G31+G32</f>
        <v>352224.37620000006</v>
      </c>
      <c r="H33" s="49">
        <f t="shared" si="6"/>
        <v>3132641.1361999996</v>
      </c>
      <c r="I33" s="50">
        <f>+J33/H33</f>
        <v>0.83081398846632448</v>
      </c>
      <c r="J33" s="81">
        <f>+J32+J31</f>
        <v>2602642.0767999999</v>
      </c>
      <c r="K33" s="49">
        <f t="shared" si="4"/>
        <v>529999.05939999968</v>
      </c>
      <c r="L33" s="80"/>
    </row>
    <row r="34" spans="1:12" x14ac:dyDescent="0.45">
      <c r="C34"/>
      <c r="D34"/>
      <c r="K34" s="38"/>
    </row>
    <row r="35" spans="1:12" x14ac:dyDescent="0.45">
      <c r="C35"/>
      <c r="D35"/>
      <c r="E35" s="82">
        <f>+E33-600036.38</f>
        <v>0</v>
      </c>
      <c r="F35" s="82"/>
      <c r="G35" s="82"/>
      <c r="J35" s="38"/>
    </row>
    <row r="36" spans="1:12" x14ac:dyDescent="0.45">
      <c r="C36"/>
      <c r="D36"/>
      <c r="J36" s="83"/>
      <c r="K36" s="38"/>
    </row>
    <row r="37" spans="1:12" x14ac:dyDescent="0.45">
      <c r="C37"/>
      <c r="D37"/>
      <c r="J37" s="38"/>
    </row>
    <row r="38" spans="1:12" x14ac:dyDescent="0.45">
      <c r="C38"/>
      <c r="D38"/>
      <c r="J38" s="38"/>
    </row>
    <row r="39" spans="1:12" ht="25.5" customHeight="1" x14ac:dyDescent="0.45">
      <c r="C39"/>
      <c r="D39"/>
    </row>
    <row r="40" spans="1:12" x14ac:dyDescent="0.45">
      <c r="C40"/>
      <c r="D40"/>
      <c r="K40" s="38"/>
    </row>
  </sheetData>
  <mergeCells count="2">
    <mergeCell ref="A8:L8"/>
    <mergeCell ref="A27:L27"/>
  </mergeCells>
  <printOptions horizontalCentered="1"/>
  <pageMargins left="3.937007874015748E-2" right="3.937007874015748E-2" top="3.937007874015748E-2" bottom="3.937007874015748E-2"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9C139-6261-4B29-924E-2C808CB21A44}">
  <dimension ref="A1:V25"/>
  <sheetViews>
    <sheetView tabSelected="1" workbookViewId="0">
      <selection activeCell="K24" sqref="K24"/>
    </sheetView>
  </sheetViews>
  <sheetFormatPr baseColWidth="10" defaultColWidth="8.86328125" defaultRowHeight="14.25" x14ac:dyDescent="0.45"/>
  <cols>
    <col min="1" max="1" width="28" customWidth="1"/>
    <col min="2" max="2" width="0.796875" hidden="1" customWidth="1"/>
    <col min="3" max="3" width="8.86328125" hidden="1" customWidth="1"/>
    <col min="4" max="4" width="2.86328125" hidden="1" customWidth="1"/>
    <col min="5" max="5" width="8.86328125" hidden="1" customWidth="1"/>
    <col min="6" max="6" width="3" hidden="1" customWidth="1"/>
    <col min="7" max="7" width="2.53125" hidden="1" customWidth="1"/>
    <col min="8" max="8" width="14.796875" customWidth="1"/>
    <col min="9" max="9" width="13.1328125" customWidth="1"/>
    <col min="10" max="10" width="12.46484375" customWidth="1"/>
    <col min="11" max="11" width="14.1328125" customWidth="1"/>
    <col min="12" max="12" width="13.1328125" customWidth="1"/>
    <col min="13" max="13" width="12.53125" customWidth="1"/>
    <col min="14" max="14" width="14.53125" customWidth="1"/>
    <col min="15" max="15" width="13.6640625" customWidth="1"/>
    <col min="16" max="16" width="13.19921875" customWidth="1"/>
    <col min="17" max="18" width="15.796875" customWidth="1"/>
    <col min="19" max="19" width="13.796875" bestFit="1" customWidth="1"/>
    <col min="20" max="20" width="16.46484375" customWidth="1"/>
    <col min="21" max="22" width="13.796875" bestFit="1" customWidth="1"/>
  </cols>
  <sheetData>
    <row r="1" spans="1:22" ht="15.75" x14ac:dyDescent="0.5">
      <c r="A1" s="36" t="s">
        <v>121</v>
      </c>
      <c r="B1" s="36"/>
      <c r="C1" s="36"/>
      <c r="D1" s="36"/>
    </row>
    <row r="2" spans="1:22" x14ac:dyDescent="0.45">
      <c r="A2" s="37"/>
      <c r="B2" s="37"/>
      <c r="C2" s="37"/>
      <c r="D2" s="37"/>
    </row>
    <row r="3" spans="1:22" x14ac:dyDescent="0.45">
      <c r="A3" s="37" t="s">
        <v>122</v>
      </c>
      <c r="B3" s="37"/>
      <c r="C3" s="37"/>
      <c r="D3" s="37"/>
    </row>
    <row r="4" spans="1:22" ht="14.65" thickBot="1" x14ac:dyDescent="0.5"/>
    <row r="5" spans="1:22" ht="27" customHeight="1" x14ac:dyDescent="0.45">
      <c r="A5" s="216" t="s">
        <v>123</v>
      </c>
      <c r="B5" s="193" t="s">
        <v>124</v>
      </c>
      <c r="C5" s="193"/>
      <c r="D5" s="193" t="s">
        <v>125</v>
      </c>
      <c r="E5" s="193"/>
      <c r="F5" s="193" t="s">
        <v>125</v>
      </c>
      <c r="G5" s="193"/>
      <c r="H5" s="193" t="s">
        <v>126</v>
      </c>
      <c r="I5" s="193" t="s">
        <v>127</v>
      </c>
      <c r="J5" s="193" t="s">
        <v>128</v>
      </c>
      <c r="K5" s="217" t="s">
        <v>129</v>
      </c>
      <c r="L5" s="218" t="s">
        <v>130</v>
      </c>
      <c r="M5" s="218" t="s">
        <v>131</v>
      </c>
      <c r="N5" s="217" t="s">
        <v>132</v>
      </c>
      <c r="O5" s="218" t="s">
        <v>133</v>
      </c>
      <c r="P5" s="218" t="s">
        <v>134</v>
      </c>
      <c r="Q5" s="193" t="s">
        <v>135</v>
      </c>
      <c r="R5" s="193"/>
      <c r="S5" s="193" t="s">
        <v>206</v>
      </c>
      <c r="T5" s="194" t="s">
        <v>11</v>
      </c>
    </row>
    <row r="6" spans="1:22" ht="26" customHeight="1" x14ac:dyDescent="0.45">
      <c r="A6" s="219"/>
      <c r="B6" s="201" t="s">
        <v>136</v>
      </c>
      <c r="C6" s="201" t="s">
        <v>137</v>
      </c>
      <c r="D6" s="201" t="s">
        <v>136</v>
      </c>
      <c r="E6" s="201" t="s">
        <v>137</v>
      </c>
      <c r="F6" s="201" t="s">
        <v>136</v>
      </c>
      <c r="G6" s="201" t="s">
        <v>137</v>
      </c>
      <c r="H6" s="202">
        <v>1150000</v>
      </c>
      <c r="I6" s="202">
        <v>500000</v>
      </c>
      <c r="J6" s="202">
        <f>+J16</f>
        <v>600036.37620000006</v>
      </c>
      <c r="K6" s="203">
        <f>+'[4]SHHET 2 BIS'!K6+'[4]SHHET 2 BIS'!L6</f>
        <v>530379.38</v>
      </c>
      <c r="L6" s="204">
        <f t="shared" ref="L6:Q6" si="0">L16</f>
        <v>371265.5612</v>
      </c>
      <c r="M6" s="204">
        <f t="shared" si="0"/>
        <v>159113.815</v>
      </c>
      <c r="N6" s="205">
        <f t="shared" si="0"/>
        <v>352224.37620000006</v>
      </c>
      <c r="O6" s="204">
        <f>+'[4]SHHET 2 BIS'!N6</f>
        <v>246557.0612</v>
      </c>
      <c r="P6" s="204">
        <f>+N6-O6</f>
        <v>105667.31500000006</v>
      </c>
      <c r="Q6" s="90">
        <f t="shared" si="0"/>
        <v>3132640.1285999995</v>
      </c>
      <c r="R6" s="90"/>
      <c r="S6" s="90">
        <f>+'RAPPORT PTA 2021'!G79</f>
        <v>199167</v>
      </c>
      <c r="T6" s="195">
        <f>+Q6-S6</f>
        <v>2933473.1285999995</v>
      </c>
    </row>
    <row r="7" spans="1:22" ht="24.6" customHeight="1" x14ac:dyDescent="0.45">
      <c r="A7" s="220" t="s">
        <v>138</v>
      </c>
      <c r="B7" s="206"/>
      <c r="C7" s="206"/>
      <c r="D7" s="206"/>
      <c r="E7" s="206"/>
      <c r="F7" s="206"/>
      <c r="G7" s="206"/>
      <c r="H7" s="91">
        <v>712983</v>
      </c>
      <c r="I7" s="91">
        <v>382200</v>
      </c>
      <c r="J7" s="91">
        <f>[5]Sheet1!C21+[5]Sheet1!C26+[5]Sheet1!C33</f>
        <v>392681.66000000003</v>
      </c>
      <c r="K7" s="93">
        <f>+L7+M7</f>
        <v>392681.66</v>
      </c>
      <c r="L7" s="207">
        <f>+'[4]SHHET 2 BIS'!K7</f>
        <v>300977.15999999997</v>
      </c>
      <c r="M7" s="207">
        <f>+'[4]SHHET 2 BIS'!L7</f>
        <v>91704.5</v>
      </c>
      <c r="N7" s="93">
        <f>[6]Sheet1!D27+[6]Sheet1!D33</f>
        <v>264181.66000000003</v>
      </c>
      <c r="O7" s="207">
        <f>+'[4]SHHET 2 BIS'!N7</f>
        <v>190427.16000000003</v>
      </c>
      <c r="P7" s="207">
        <f>N7-O7</f>
        <v>73754.5</v>
      </c>
      <c r="Q7" s="91">
        <f>H7+I7+J7+K7+N7</f>
        <v>2144727.98</v>
      </c>
      <c r="R7" s="91"/>
      <c r="S7" s="109">
        <f>+'RAPPORT PTA 2021'!G34+'RAPPORT PTA 2021'!G40+'RAPPORT PTA 2021'!G51</f>
        <v>154233</v>
      </c>
      <c r="T7" s="195">
        <f t="shared" ref="T7:T16" si="1">+Q7-S7</f>
        <v>1990494.98</v>
      </c>
      <c r="U7" s="38"/>
      <c r="V7" s="38"/>
    </row>
    <row r="8" spans="1:22" ht="30.6" customHeight="1" x14ac:dyDescent="0.45">
      <c r="A8" s="220" t="s">
        <v>139</v>
      </c>
      <c r="B8" s="206"/>
      <c r="C8" s="206"/>
      <c r="D8" s="208"/>
      <c r="E8" s="206"/>
      <c r="F8" s="206"/>
      <c r="G8" s="206"/>
      <c r="H8" s="91">
        <v>27284</v>
      </c>
      <c r="I8" s="209">
        <v>10000</v>
      </c>
      <c r="J8" s="91">
        <f>[5]Sheet1!C12+[5]Sheet1!C13+[5]Sheet1!C14+[5]Sheet1!C16</f>
        <v>35000</v>
      </c>
      <c r="K8" s="93">
        <f>+L8+M8</f>
        <v>10000</v>
      </c>
      <c r="L8" s="207">
        <f>+'[4]SHHET 2 BIS'!K8</f>
        <v>5000</v>
      </c>
      <c r="M8" s="207">
        <f>+'[4]SHHET 2 BIS'!L8</f>
        <v>5000</v>
      </c>
      <c r="N8" s="93">
        <v>10000</v>
      </c>
      <c r="O8" s="207">
        <v>0</v>
      </c>
      <c r="P8" s="207">
        <f t="shared" ref="P8:P16" si="2">N8-O8</f>
        <v>10000</v>
      </c>
      <c r="Q8" s="91">
        <f t="shared" ref="Q8:Q16" si="3">H8+I8+J8+K8+N8</f>
        <v>92284</v>
      </c>
      <c r="R8" s="91"/>
      <c r="S8" s="109">
        <f>+'RAPPORT PTA 2021'!G13+'RAPPORT PTA 2021'!G14+'RAPPORT PTA 2021'!G15+'RAPPORT PTA 2021'!G18+'RAPPORT PTA 2021'!G20+'RAPPORT PTA 2021'!G21</f>
        <v>715</v>
      </c>
      <c r="T8" s="195">
        <f t="shared" si="1"/>
        <v>91569</v>
      </c>
      <c r="U8" s="38"/>
      <c r="V8" s="38"/>
    </row>
    <row r="9" spans="1:22" ht="42.6" customHeight="1" x14ac:dyDescent="0.45">
      <c r="A9" s="220" t="s">
        <v>140</v>
      </c>
      <c r="B9" s="206"/>
      <c r="C9" s="206"/>
      <c r="D9" s="206"/>
      <c r="E9" s="206"/>
      <c r="F9" s="206"/>
      <c r="G9" s="206"/>
      <c r="H9" s="91">
        <v>5283</v>
      </c>
      <c r="I9" s="91">
        <v>5000</v>
      </c>
      <c r="J9" s="91"/>
      <c r="K9" s="93"/>
      <c r="L9" s="207">
        <f t="shared" ref="L9:L12" si="4">K9*0.7</f>
        <v>0</v>
      </c>
      <c r="M9" s="207">
        <f t="shared" ref="M9:M12" si="5">K9-L9</f>
        <v>0</v>
      </c>
      <c r="N9" s="93"/>
      <c r="O9" s="207">
        <f t="shared" ref="O9:O12" si="6">N9*0.7</f>
        <v>0</v>
      </c>
      <c r="P9" s="207">
        <f t="shared" si="2"/>
        <v>0</v>
      </c>
      <c r="Q9" s="91">
        <f t="shared" si="3"/>
        <v>10283</v>
      </c>
      <c r="R9" s="91"/>
      <c r="S9" s="109">
        <v>0</v>
      </c>
      <c r="T9" s="195">
        <f t="shared" si="1"/>
        <v>10283</v>
      </c>
      <c r="U9" s="38"/>
      <c r="V9" s="38"/>
    </row>
    <row r="10" spans="1:22" ht="31.25" customHeight="1" x14ac:dyDescent="0.45">
      <c r="A10" s="220" t="s">
        <v>141</v>
      </c>
      <c r="B10" s="206"/>
      <c r="C10" s="206"/>
      <c r="D10" s="206"/>
      <c r="E10" s="206"/>
      <c r="F10" s="206"/>
      <c r="G10" s="206"/>
      <c r="H10" s="91">
        <v>150500</v>
      </c>
      <c r="I10" s="91">
        <v>20000</v>
      </c>
      <c r="J10" s="91">
        <f>[5]Sheet1!C36+[5]Sheet1!C41+[5]Sheet1!C45</f>
        <v>84250</v>
      </c>
      <c r="K10" s="93">
        <f>+L10+M10</f>
        <v>55000</v>
      </c>
      <c r="L10" s="207">
        <f>+'[4]SHHET 2 BIS'!K10</f>
        <v>26000</v>
      </c>
      <c r="M10" s="207">
        <f>+'[4]SHHET 2 BIS'!L10</f>
        <v>29000</v>
      </c>
      <c r="N10" s="93">
        <v>50000</v>
      </c>
      <c r="O10" s="207">
        <v>40000</v>
      </c>
      <c r="P10" s="207">
        <f t="shared" si="2"/>
        <v>10000</v>
      </c>
      <c r="Q10" s="91">
        <f t="shared" si="3"/>
        <v>359750</v>
      </c>
      <c r="R10" s="91"/>
      <c r="S10" s="109">
        <f>+'RAPPORT PTA 2021'!G41+'RAPPORT PTA 2021'!G55+'RAPPORT PTA 2021'!G58+'RAPPORT PTA 2021'!G60+'RAPPORT PTA 2021'!G66+'RAPPORT PTA 2021'!G67+'RAPPORT PTA 2021'!G68+'RAPPORT PTA 2021'!G70+'RAPPORT PTA 2021'!G71+'RAPPORT PTA 2021'!G72</f>
        <v>25897</v>
      </c>
      <c r="T10" s="195">
        <f t="shared" si="1"/>
        <v>333853</v>
      </c>
      <c r="U10" s="38"/>
      <c r="V10" s="38"/>
    </row>
    <row r="11" spans="1:22" ht="30" customHeight="1" x14ac:dyDescent="0.45">
      <c r="A11" s="220" t="s">
        <v>142</v>
      </c>
      <c r="B11" s="206"/>
      <c r="C11" s="206"/>
      <c r="D11" s="206"/>
      <c r="E11" s="206"/>
      <c r="F11" s="206"/>
      <c r="G11" s="206"/>
      <c r="H11" s="91">
        <v>112529</v>
      </c>
      <c r="I11" s="91">
        <v>25000</v>
      </c>
      <c r="J11" s="91">
        <f>+[5]Sheet1!C17</f>
        <v>15000</v>
      </c>
      <c r="K11" s="93">
        <f>+L11+M11</f>
        <v>10000</v>
      </c>
      <c r="L11" s="207">
        <f>+'[4]SHHET 2 BIS'!K11</f>
        <v>5000</v>
      </c>
      <c r="M11" s="207">
        <f>+'[4]SHHET 2 BIS'!L11</f>
        <v>5000</v>
      </c>
      <c r="N11" s="93"/>
      <c r="O11" s="207">
        <f t="shared" si="6"/>
        <v>0</v>
      </c>
      <c r="P11" s="207">
        <f t="shared" si="2"/>
        <v>0</v>
      </c>
      <c r="Q11" s="91">
        <f t="shared" si="3"/>
        <v>162529</v>
      </c>
      <c r="R11" s="91"/>
      <c r="S11" s="109">
        <f>+'RAPPORT PTA 2021'!G63</f>
        <v>2176</v>
      </c>
      <c r="T11" s="195">
        <f t="shared" si="1"/>
        <v>160353</v>
      </c>
      <c r="U11" s="38"/>
      <c r="V11" s="38"/>
    </row>
    <row r="12" spans="1:22" ht="39" customHeight="1" x14ac:dyDescent="0.45">
      <c r="A12" s="220" t="s">
        <v>143</v>
      </c>
      <c r="B12" s="206"/>
      <c r="C12" s="206"/>
      <c r="D12" s="206"/>
      <c r="E12" s="206"/>
      <c r="F12" s="206"/>
      <c r="G12" s="206"/>
      <c r="H12" s="91"/>
      <c r="I12" s="91">
        <v>0</v>
      </c>
      <c r="J12" s="91"/>
      <c r="K12" s="93"/>
      <c r="L12" s="207">
        <f t="shared" si="4"/>
        <v>0</v>
      </c>
      <c r="M12" s="207">
        <f t="shared" si="5"/>
        <v>0</v>
      </c>
      <c r="N12" s="93"/>
      <c r="O12" s="207">
        <f t="shared" si="6"/>
        <v>0</v>
      </c>
      <c r="P12" s="207">
        <f t="shared" si="2"/>
        <v>0</v>
      </c>
      <c r="Q12" s="91">
        <f t="shared" si="3"/>
        <v>0</v>
      </c>
      <c r="R12" s="91"/>
      <c r="S12" s="109">
        <v>0</v>
      </c>
      <c r="T12" s="195">
        <f t="shared" si="1"/>
        <v>0</v>
      </c>
      <c r="U12" s="38"/>
      <c r="V12" s="38"/>
    </row>
    <row r="13" spans="1:22" ht="45.6" customHeight="1" x14ac:dyDescent="0.45">
      <c r="A13" s="220" t="s">
        <v>144</v>
      </c>
      <c r="B13" s="206"/>
      <c r="C13" s="206"/>
      <c r="D13" s="206"/>
      <c r="E13" s="206"/>
      <c r="F13" s="206"/>
      <c r="G13" s="206"/>
      <c r="H13" s="91">
        <v>66188</v>
      </c>
      <c r="I13" s="91">
        <v>25090</v>
      </c>
      <c r="J13" s="91">
        <f>+[5]Sheet1!C24+[5]Sheet1!C37+[5]Sheet1!C40</f>
        <v>33850</v>
      </c>
      <c r="K13" s="93">
        <f>+L13+M13</f>
        <v>28000</v>
      </c>
      <c r="L13" s="207">
        <f>+'[4]SHHET 2 BIS'!K13</f>
        <v>10000</v>
      </c>
      <c r="M13" s="207">
        <f>+'[4]SHHET 2 BIS'!L13</f>
        <v>18000</v>
      </c>
      <c r="N13" s="93">
        <v>5000</v>
      </c>
      <c r="O13" s="207"/>
      <c r="P13" s="207">
        <f t="shared" si="2"/>
        <v>5000</v>
      </c>
      <c r="Q13" s="91">
        <f t="shared" si="3"/>
        <v>158128</v>
      </c>
      <c r="R13" s="91"/>
      <c r="S13" s="109">
        <f>+'RAPPORT PTA 2021'!G62+'RAPPORT PTA 2021'!G61+'RAPPORT PTA 2021'!G59+'RAPPORT PTA 2021'!G57+'RAPPORT PTA 2021'!G52+'RAPPORT PTA 2021'!G37+'RAPPORT PTA 2021'!G36+'RAPPORT PTA 2021'!G35+'RAPPORT PTA 2021'!G30+'RAPPORT PTA 2021'!G29+'RAPPORT PTA 2021'!G28+'RAPPORT PTA 2021'!G24+'RAPPORT PTA 2021'!G23+'RAPPORT PTA 2021'!G22+'RAPPORT PTA 2021'!G19+'RAPPORT PTA 2021'!G17+'RAPPORT PTA 2021'!G25</f>
        <v>3135</v>
      </c>
      <c r="T13" s="195">
        <f t="shared" si="1"/>
        <v>154993</v>
      </c>
      <c r="U13" s="38"/>
      <c r="V13" s="38"/>
    </row>
    <row r="14" spans="1:22" ht="33" customHeight="1" x14ac:dyDescent="0.45">
      <c r="A14" s="221" t="s">
        <v>145</v>
      </c>
      <c r="B14" s="210"/>
      <c r="C14" s="210"/>
      <c r="D14" s="210"/>
      <c r="E14" s="210"/>
      <c r="F14" s="210"/>
      <c r="G14" s="210"/>
      <c r="H14" s="211">
        <f>SUM(H7:H13)</f>
        <v>1074767</v>
      </c>
      <c r="I14" s="211">
        <f>SUM(I7:I13)</f>
        <v>467290</v>
      </c>
      <c r="J14" s="211">
        <f>SUM(J7:J13)</f>
        <v>560781.66</v>
      </c>
      <c r="K14" s="212">
        <f>SUM(K7:K13)</f>
        <v>495681.66</v>
      </c>
      <c r="L14" s="213">
        <v>346977.16</v>
      </c>
      <c r="M14" s="213">
        <f>SUM(M7:M13)</f>
        <v>148704.5</v>
      </c>
      <c r="N14" s="92">
        <f>N7+N8+N10+N13</f>
        <v>329181.66000000003</v>
      </c>
      <c r="O14" s="214">
        <f>SUM(O7:O13)</f>
        <v>230427.16000000003</v>
      </c>
      <c r="P14" s="214">
        <f t="shared" si="2"/>
        <v>98754.5</v>
      </c>
      <c r="Q14" s="92">
        <f t="shared" si="3"/>
        <v>2927701.9800000004</v>
      </c>
      <c r="R14" s="92"/>
      <c r="S14" s="110">
        <f>SUM(S7:S13)</f>
        <v>186156</v>
      </c>
      <c r="T14" s="196">
        <f t="shared" si="1"/>
        <v>2741545.9800000004</v>
      </c>
      <c r="U14" s="38"/>
      <c r="V14" s="38"/>
    </row>
    <row r="15" spans="1:22" ht="27" customHeight="1" x14ac:dyDescent="0.45">
      <c r="A15" s="222" t="s">
        <v>146</v>
      </c>
      <c r="B15" s="91"/>
      <c r="C15" s="91"/>
      <c r="D15" s="91"/>
      <c r="E15" s="91"/>
      <c r="F15" s="91"/>
      <c r="G15" s="91"/>
      <c r="H15" s="91">
        <v>75233</v>
      </c>
      <c r="I15" s="91">
        <v>32710</v>
      </c>
      <c r="J15" s="91">
        <f>(J14*0.07)</f>
        <v>39254.716200000003</v>
      </c>
      <c r="K15" s="93">
        <f>(K14*0.07)</f>
        <v>34697.716200000003</v>
      </c>
      <c r="L15" s="215">
        <f>L14*0.07</f>
        <v>24288.4012</v>
      </c>
      <c r="M15" s="207">
        <f>M14*0.07</f>
        <v>10409.315000000001</v>
      </c>
      <c r="N15" s="93">
        <f>N14*0.07</f>
        <v>23042.716200000006</v>
      </c>
      <c r="O15" s="207">
        <f>+O14*7%</f>
        <v>16129.901200000004</v>
      </c>
      <c r="P15" s="207">
        <f t="shared" si="2"/>
        <v>6912.8150000000023</v>
      </c>
      <c r="Q15" s="93">
        <f t="shared" si="3"/>
        <v>204938.14859999999</v>
      </c>
      <c r="R15" s="93"/>
      <c r="S15" s="111">
        <f>+'RAPPORT PTA 2021'!G78</f>
        <v>13011</v>
      </c>
      <c r="T15" s="197">
        <f t="shared" si="1"/>
        <v>191927.14859999999</v>
      </c>
      <c r="U15" s="38"/>
      <c r="V15" s="38"/>
    </row>
    <row r="16" spans="1:22" ht="27.6" customHeight="1" thickBot="1" x14ac:dyDescent="0.5">
      <c r="A16" s="223" t="s">
        <v>147</v>
      </c>
      <c r="B16" s="224"/>
      <c r="C16" s="224"/>
      <c r="D16" s="224"/>
      <c r="E16" s="224"/>
      <c r="F16" s="224"/>
      <c r="G16" s="224"/>
      <c r="H16" s="225">
        <f>+H14+H15</f>
        <v>1150000</v>
      </c>
      <c r="I16" s="225">
        <f>+I14+I15</f>
        <v>500000</v>
      </c>
      <c r="J16" s="225">
        <f>J14+J15</f>
        <v>600036.37620000006</v>
      </c>
      <c r="K16" s="198">
        <f>K14+K15</f>
        <v>530379.37619999994</v>
      </c>
      <c r="L16" s="226">
        <f>L14+L15</f>
        <v>371265.5612</v>
      </c>
      <c r="M16" s="226">
        <f>M14+M15</f>
        <v>159113.815</v>
      </c>
      <c r="N16" s="198">
        <f>N14+N15</f>
        <v>352224.37620000006</v>
      </c>
      <c r="O16" s="227">
        <f>+O14+O15</f>
        <v>246557.06120000003</v>
      </c>
      <c r="P16" s="227">
        <f t="shared" si="2"/>
        <v>105667.31500000003</v>
      </c>
      <c r="Q16" s="198">
        <f t="shared" si="3"/>
        <v>3132640.1285999995</v>
      </c>
      <c r="R16" s="198"/>
      <c r="S16" s="199">
        <f>+S14+S15</f>
        <v>199167</v>
      </c>
      <c r="T16" s="200">
        <f t="shared" si="1"/>
        <v>2933473.1285999995</v>
      </c>
      <c r="U16" s="38"/>
      <c r="V16" s="38"/>
    </row>
    <row r="18" spans="8:18" x14ac:dyDescent="0.45">
      <c r="I18" s="38"/>
    </row>
    <row r="19" spans="8:18" x14ac:dyDescent="0.45">
      <c r="I19" s="38"/>
      <c r="J19" s="38"/>
      <c r="O19" s="38"/>
    </row>
    <row r="20" spans="8:18" x14ac:dyDescent="0.45">
      <c r="I20" s="38"/>
      <c r="J20" s="38"/>
      <c r="K20" s="38"/>
      <c r="L20" s="39"/>
      <c r="M20" s="38"/>
      <c r="N20" s="38"/>
      <c r="O20" s="38"/>
      <c r="P20" s="38"/>
    </row>
    <row r="21" spans="8:18" x14ac:dyDescent="0.45">
      <c r="K21" s="38"/>
      <c r="L21" s="39"/>
    </row>
    <row r="22" spans="8:18" ht="15" x14ac:dyDescent="0.45">
      <c r="H22" s="40"/>
      <c r="L22" s="39"/>
      <c r="M22" s="38"/>
      <c r="N22" s="38"/>
      <c r="O22" s="38"/>
      <c r="P22" s="38"/>
      <c r="Q22" s="38"/>
      <c r="R22" s="38"/>
    </row>
    <row r="23" spans="8:18" ht="15" x14ac:dyDescent="0.45">
      <c r="H23" s="40"/>
      <c r="J23" s="38"/>
      <c r="L23" s="39"/>
    </row>
    <row r="24" spans="8:18" ht="15" x14ac:dyDescent="0.45">
      <c r="H24" s="40"/>
    </row>
    <row r="25" spans="8:18" ht="15" x14ac:dyDescent="0.45">
      <c r="H25" s="40"/>
    </row>
  </sheetData>
  <printOptions horizontalCentered="1"/>
  <pageMargins left="3.937007874015748E-2" right="3.937007874015748E-2" top="3.937007874015748E-2" bottom="3.937007874015748E-2"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RAPPORT PTA 2021</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Sanaba Coulibaly-Diakite</dc:creator>
  <cp:lastModifiedBy>fabrice.konan</cp:lastModifiedBy>
  <cp:lastPrinted>2021-06-14T23:28:14Z</cp:lastPrinted>
  <dcterms:created xsi:type="dcterms:W3CDTF">2021-03-05T20:06:11Z</dcterms:created>
  <dcterms:modified xsi:type="dcterms:W3CDTF">2021-06-15T20:55:54Z</dcterms:modified>
</cp:coreProperties>
</file>